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ганова\Desktop\"/>
    </mc:Choice>
  </mc:AlternateContent>
  <xr:revisionPtr revIDLastSave="0" documentId="13_ncr:1_{BF4BACE6-9E7D-4EB7-BE1A-E999208DFC68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TDSheet!$A$55:$N$3085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85" i="1" l="1"/>
  <c r="B3085" i="1"/>
  <c r="M3084" i="1"/>
  <c r="B3084" i="1"/>
  <c r="M3083" i="1"/>
  <c r="B3083" i="1"/>
  <c r="M3082" i="1"/>
  <c r="B3082" i="1"/>
  <c r="M3081" i="1"/>
  <c r="B3081" i="1"/>
  <c r="M3080" i="1"/>
  <c r="B3080" i="1"/>
  <c r="M3078" i="1"/>
  <c r="B3078" i="1"/>
  <c r="M3077" i="1"/>
  <c r="B3077" i="1"/>
  <c r="M3076" i="1"/>
  <c r="B3076" i="1"/>
  <c r="M3075" i="1"/>
  <c r="B3075" i="1"/>
  <c r="M3074" i="1"/>
  <c r="B3074" i="1"/>
  <c r="M3073" i="1"/>
  <c r="B3073" i="1"/>
  <c r="M3072" i="1"/>
  <c r="B3072" i="1"/>
  <c r="M3071" i="1"/>
  <c r="B3071" i="1"/>
  <c r="M3070" i="1"/>
  <c r="B3070" i="1"/>
  <c r="M3069" i="1"/>
  <c r="B3069" i="1"/>
  <c r="M3068" i="1"/>
  <c r="B3068" i="1"/>
  <c r="M3067" i="1"/>
  <c r="B3067" i="1"/>
  <c r="M3065" i="1"/>
  <c r="B3065" i="1"/>
  <c r="M3064" i="1"/>
  <c r="B3064" i="1"/>
  <c r="M3063" i="1"/>
  <c r="B3063" i="1"/>
  <c r="M3062" i="1"/>
  <c r="B3062" i="1"/>
  <c r="M3061" i="1"/>
  <c r="B3061" i="1"/>
  <c r="M3060" i="1"/>
  <c r="B3060" i="1"/>
  <c r="M3059" i="1"/>
  <c r="B3059" i="1"/>
  <c r="M3058" i="1"/>
  <c r="B3058" i="1"/>
  <c r="M3057" i="1"/>
  <c r="B3057" i="1"/>
  <c r="M3056" i="1"/>
  <c r="B3056" i="1"/>
  <c r="M3055" i="1"/>
  <c r="B3055" i="1"/>
  <c r="M3053" i="1"/>
  <c r="B3053" i="1"/>
  <c r="M3052" i="1"/>
  <c r="B3052" i="1"/>
  <c r="M3051" i="1"/>
  <c r="B3051" i="1"/>
  <c r="M3050" i="1"/>
  <c r="B3050" i="1"/>
  <c r="M3049" i="1"/>
  <c r="B3049" i="1"/>
  <c r="M3048" i="1"/>
  <c r="B3048" i="1"/>
  <c r="M3047" i="1"/>
  <c r="B3047" i="1"/>
  <c r="M3046" i="1"/>
  <c r="B3046" i="1"/>
  <c r="M3045" i="1"/>
  <c r="B3045" i="1"/>
  <c r="M3044" i="1"/>
  <c r="B3044" i="1"/>
  <c r="M3043" i="1"/>
  <c r="B3043" i="1"/>
  <c r="M3042" i="1"/>
  <c r="B3042" i="1"/>
  <c r="M3041" i="1"/>
  <c r="B3041" i="1"/>
  <c r="M3040" i="1"/>
  <c r="B3040" i="1"/>
  <c r="M3039" i="1"/>
  <c r="B3039" i="1"/>
  <c r="M3038" i="1"/>
  <c r="B3038" i="1"/>
  <c r="M3037" i="1"/>
  <c r="B3037" i="1"/>
  <c r="M3036" i="1"/>
  <c r="B3036" i="1"/>
  <c r="M3035" i="1"/>
  <c r="B3035" i="1"/>
  <c r="M3034" i="1"/>
  <c r="B3034" i="1"/>
  <c r="M3033" i="1"/>
  <c r="B3033" i="1"/>
  <c r="M3032" i="1"/>
  <c r="B3032" i="1"/>
  <c r="M3031" i="1"/>
  <c r="B3031" i="1"/>
  <c r="M3030" i="1"/>
  <c r="B3030" i="1"/>
  <c r="M3029" i="1"/>
  <c r="B3029" i="1"/>
  <c r="M3028" i="1"/>
  <c r="M3027" i="1"/>
  <c r="M3026" i="1"/>
  <c r="M3025" i="1"/>
  <c r="B3025" i="1"/>
  <c r="M3024" i="1"/>
  <c r="B3024" i="1"/>
  <c r="M3023" i="1"/>
  <c r="B3023" i="1"/>
  <c r="M3022" i="1"/>
  <c r="B3022" i="1"/>
  <c r="M3021" i="1"/>
  <c r="B3021" i="1"/>
  <c r="M3020" i="1"/>
  <c r="B3020" i="1"/>
  <c r="M3019" i="1"/>
  <c r="B3019" i="1"/>
  <c r="M3018" i="1"/>
  <c r="B3018" i="1"/>
  <c r="M3017" i="1"/>
  <c r="B3017" i="1"/>
  <c r="M3016" i="1"/>
  <c r="B3016" i="1"/>
  <c r="M3015" i="1"/>
  <c r="B3015" i="1"/>
  <c r="M3014" i="1"/>
  <c r="B3014" i="1"/>
  <c r="M3013" i="1"/>
  <c r="B3013" i="1"/>
  <c r="M3012" i="1"/>
  <c r="B3012" i="1"/>
  <c r="M3011" i="1"/>
  <c r="B3011" i="1"/>
  <c r="M3010" i="1"/>
  <c r="B3010" i="1"/>
  <c r="M3009" i="1"/>
  <c r="B3009" i="1"/>
  <c r="M3008" i="1"/>
  <c r="B3008" i="1"/>
  <c r="M3007" i="1"/>
  <c r="B3007" i="1"/>
  <c r="M3006" i="1"/>
  <c r="B3006" i="1"/>
  <c r="M3005" i="1"/>
  <c r="B3005" i="1"/>
  <c r="M3004" i="1"/>
  <c r="B3004" i="1"/>
  <c r="M3003" i="1"/>
  <c r="B3003" i="1"/>
  <c r="M3002" i="1"/>
  <c r="B3002" i="1"/>
  <c r="M3001" i="1"/>
  <c r="B3001" i="1"/>
  <c r="M3000" i="1"/>
  <c r="B3000" i="1"/>
  <c r="M2999" i="1"/>
  <c r="B2999" i="1"/>
  <c r="M2998" i="1"/>
  <c r="B2998" i="1"/>
  <c r="M2997" i="1"/>
  <c r="B2997" i="1"/>
  <c r="M2996" i="1"/>
  <c r="B2996" i="1"/>
  <c r="M2995" i="1"/>
  <c r="B2995" i="1"/>
  <c r="M2994" i="1"/>
  <c r="B2994" i="1"/>
  <c r="M2993" i="1"/>
  <c r="B2993" i="1"/>
  <c r="M2992" i="1"/>
  <c r="B2992" i="1"/>
  <c r="M2991" i="1"/>
  <c r="B2991" i="1"/>
  <c r="M2990" i="1"/>
  <c r="B2990" i="1"/>
  <c r="M2989" i="1"/>
  <c r="B2989" i="1"/>
  <c r="M2988" i="1"/>
  <c r="B2988" i="1"/>
  <c r="M2987" i="1"/>
  <c r="B2987" i="1"/>
  <c r="M2986" i="1"/>
  <c r="B2986" i="1"/>
  <c r="M2985" i="1"/>
  <c r="B2985" i="1"/>
  <c r="M2984" i="1"/>
  <c r="B2984" i="1"/>
  <c r="M2983" i="1"/>
  <c r="B2983" i="1"/>
  <c r="M2982" i="1"/>
  <c r="B2982" i="1"/>
  <c r="M2981" i="1"/>
  <c r="B2981" i="1"/>
  <c r="M2980" i="1"/>
  <c r="B2980" i="1"/>
  <c r="M2979" i="1"/>
  <c r="B2979" i="1"/>
  <c r="M2978" i="1"/>
  <c r="B2978" i="1"/>
  <c r="M2977" i="1"/>
  <c r="B2977" i="1"/>
  <c r="M2976" i="1"/>
  <c r="B2976" i="1"/>
  <c r="M2975" i="1"/>
  <c r="B2975" i="1"/>
  <c r="M2974" i="1"/>
  <c r="B2974" i="1"/>
  <c r="M2973" i="1"/>
  <c r="B2973" i="1"/>
  <c r="M2972" i="1"/>
  <c r="B2972" i="1"/>
  <c r="M2971" i="1"/>
  <c r="B2971" i="1"/>
  <c r="M2970" i="1"/>
  <c r="B2970" i="1"/>
  <c r="M2969" i="1"/>
  <c r="B2969" i="1"/>
  <c r="M2968" i="1"/>
  <c r="B2968" i="1"/>
  <c r="M2967" i="1"/>
  <c r="B2967" i="1"/>
  <c r="M2966" i="1"/>
  <c r="B2966" i="1"/>
  <c r="M2965" i="1"/>
  <c r="B2965" i="1"/>
  <c r="M2964" i="1"/>
  <c r="B2964" i="1"/>
  <c r="M2963" i="1"/>
  <c r="B2963" i="1"/>
  <c r="M2962" i="1"/>
  <c r="B2962" i="1"/>
  <c r="M2961" i="1"/>
  <c r="B2961" i="1"/>
  <c r="M2960" i="1"/>
  <c r="B2960" i="1"/>
  <c r="M2959" i="1"/>
  <c r="B2959" i="1"/>
  <c r="M2958" i="1"/>
  <c r="B2958" i="1"/>
  <c r="M2957" i="1"/>
  <c r="B2957" i="1"/>
  <c r="M2956" i="1"/>
  <c r="B2956" i="1"/>
  <c r="M2955" i="1"/>
  <c r="B2955" i="1"/>
  <c r="M2954" i="1"/>
  <c r="B2954" i="1"/>
  <c r="M2953" i="1"/>
  <c r="B2953" i="1"/>
  <c r="M2952" i="1"/>
  <c r="B2952" i="1"/>
  <c r="M2951" i="1"/>
  <c r="B2951" i="1"/>
  <c r="M2950" i="1"/>
  <c r="B2950" i="1"/>
  <c r="M2949" i="1"/>
  <c r="B2949" i="1"/>
  <c r="M2948" i="1"/>
  <c r="B2948" i="1"/>
  <c r="M2947" i="1"/>
  <c r="B2947" i="1"/>
  <c r="M2946" i="1"/>
  <c r="B2946" i="1"/>
  <c r="M2945" i="1"/>
  <c r="B2945" i="1"/>
  <c r="M2944" i="1"/>
  <c r="B2944" i="1"/>
  <c r="M2943" i="1"/>
  <c r="B2943" i="1"/>
  <c r="M2942" i="1"/>
  <c r="B2942" i="1"/>
  <c r="M2941" i="1"/>
  <c r="B2941" i="1"/>
  <c r="M2940" i="1"/>
  <c r="B2940" i="1"/>
  <c r="M2939" i="1"/>
  <c r="B2939" i="1"/>
  <c r="M2938" i="1"/>
  <c r="B2938" i="1"/>
  <c r="M2937" i="1"/>
  <c r="B2937" i="1"/>
  <c r="M2936" i="1"/>
  <c r="B2936" i="1"/>
  <c r="M2935" i="1"/>
  <c r="B2935" i="1"/>
  <c r="M2934" i="1"/>
  <c r="B2934" i="1"/>
  <c r="M2933" i="1"/>
  <c r="B2933" i="1"/>
  <c r="M2932" i="1"/>
  <c r="B2932" i="1"/>
  <c r="M2931" i="1"/>
  <c r="B2931" i="1"/>
  <c r="M2930" i="1"/>
  <c r="B2930" i="1"/>
  <c r="M2929" i="1"/>
  <c r="B2929" i="1"/>
  <c r="M2928" i="1"/>
  <c r="B2928" i="1"/>
  <c r="M2927" i="1"/>
  <c r="B2927" i="1"/>
  <c r="M2926" i="1"/>
  <c r="B2926" i="1"/>
  <c r="M2925" i="1"/>
  <c r="B2925" i="1"/>
  <c r="M2924" i="1"/>
  <c r="B2924" i="1"/>
  <c r="M2923" i="1"/>
  <c r="B2923" i="1"/>
  <c r="M2922" i="1"/>
  <c r="B2922" i="1"/>
  <c r="M2921" i="1"/>
  <c r="B2921" i="1"/>
  <c r="M2920" i="1"/>
  <c r="B2920" i="1"/>
  <c r="M2919" i="1"/>
  <c r="B2919" i="1"/>
  <c r="M2918" i="1"/>
  <c r="B2918" i="1"/>
  <c r="M2917" i="1"/>
  <c r="B2917" i="1"/>
  <c r="M2916" i="1"/>
  <c r="B2916" i="1"/>
  <c r="M2915" i="1"/>
  <c r="B2915" i="1"/>
  <c r="M2914" i="1"/>
  <c r="B2914" i="1"/>
  <c r="M2913" i="1"/>
  <c r="B2913" i="1"/>
  <c r="M2912" i="1"/>
  <c r="B2912" i="1"/>
  <c r="M2911" i="1"/>
  <c r="B2911" i="1"/>
  <c r="M2910" i="1"/>
  <c r="B2910" i="1"/>
  <c r="M2909" i="1"/>
  <c r="B2909" i="1"/>
  <c r="M2908" i="1"/>
  <c r="B2908" i="1"/>
  <c r="M2907" i="1"/>
  <c r="B2907" i="1"/>
  <c r="M2906" i="1"/>
  <c r="B2906" i="1"/>
  <c r="M2905" i="1"/>
  <c r="B2905" i="1"/>
  <c r="M2904" i="1"/>
  <c r="B2904" i="1"/>
  <c r="M2903" i="1"/>
  <c r="B2903" i="1"/>
  <c r="M2902" i="1"/>
  <c r="B2902" i="1"/>
  <c r="M2901" i="1"/>
  <c r="B2901" i="1"/>
  <c r="M2900" i="1"/>
  <c r="B2900" i="1"/>
  <c r="M2899" i="1"/>
  <c r="B2899" i="1"/>
  <c r="M2898" i="1"/>
  <c r="B2898" i="1"/>
  <c r="M2897" i="1"/>
  <c r="B2897" i="1"/>
  <c r="M2896" i="1"/>
  <c r="B2896" i="1"/>
  <c r="M2895" i="1"/>
  <c r="B2895" i="1"/>
  <c r="M2894" i="1"/>
  <c r="B2894" i="1"/>
  <c r="M2893" i="1"/>
  <c r="B2893" i="1"/>
  <c r="M2892" i="1"/>
  <c r="B2892" i="1"/>
  <c r="M2891" i="1"/>
  <c r="B2891" i="1"/>
  <c r="M2890" i="1"/>
  <c r="B2890" i="1"/>
  <c r="M2889" i="1"/>
  <c r="B2889" i="1"/>
  <c r="M2888" i="1"/>
  <c r="B2888" i="1"/>
  <c r="M2887" i="1"/>
  <c r="B2887" i="1"/>
  <c r="M2886" i="1"/>
  <c r="B2886" i="1"/>
  <c r="M2885" i="1"/>
  <c r="B2885" i="1"/>
  <c r="M2884" i="1"/>
  <c r="B2884" i="1"/>
  <c r="M2883" i="1"/>
  <c r="B2883" i="1"/>
  <c r="M2882" i="1"/>
  <c r="B2882" i="1"/>
  <c r="M2881" i="1"/>
  <c r="B2881" i="1"/>
  <c r="M2880" i="1"/>
  <c r="B2880" i="1"/>
  <c r="M2879" i="1"/>
  <c r="B2879" i="1"/>
  <c r="M2878" i="1"/>
  <c r="B2878" i="1"/>
  <c r="M2877" i="1"/>
  <c r="B2877" i="1"/>
  <c r="M2876" i="1"/>
  <c r="B2876" i="1"/>
  <c r="M2875" i="1"/>
  <c r="B2875" i="1"/>
  <c r="M2874" i="1"/>
  <c r="B2874" i="1"/>
  <c r="M2873" i="1"/>
  <c r="B2873" i="1"/>
  <c r="M2872" i="1"/>
  <c r="B2872" i="1"/>
  <c r="M2871" i="1"/>
  <c r="B2871" i="1"/>
  <c r="M2870" i="1"/>
  <c r="B2870" i="1"/>
  <c r="M2869" i="1"/>
  <c r="B2869" i="1"/>
  <c r="M2868" i="1"/>
  <c r="B2868" i="1"/>
  <c r="M2867" i="1"/>
  <c r="B2867" i="1"/>
  <c r="M2866" i="1"/>
  <c r="B2866" i="1"/>
  <c r="M2865" i="1"/>
  <c r="B2865" i="1"/>
  <c r="M2864" i="1"/>
  <c r="B2864" i="1"/>
  <c r="M2863" i="1"/>
  <c r="B2863" i="1"/>
  <c r="M2862" i="1"/>
  <c r="B2862" i="1"/>
  <c r="M2861" i="1"/>
  <c r="B2861" i="1"/>
  <c r="M2860" i="1"/>
  <c r="B2860" i="1"/>
  <c r="M2859" i="1"/>
  <c r="B2859" i="1"/>
  <c r="M2858" i="1"/>
  <c r="B2858" i="1"/>
  <c r="M2857" i="1"/>
  <c r="B2857" i="1"/>
  <c r="M2856" i="1"/>
  <c r="B2856" i="1"/>
  <c r="M2855" i="1"/>
  <c r="B2855" i="1"/>
  <c r="M2854" i="1"/>
  <c r="B2854" i="1"/>
  <c r="M2853" i="1"/>
  <c r="B2853" i="1"/>
  <c r="M2852" i="1"/>
  <c r="B2852" i="1"/>
  <c r="M2851" i="1"/>
  <c r="B2851" i="1"/>
  <c r="M2850" i="1"/>
  <c r="B2850" i="1"/>
  <c r="M2849" i="1"/>
  <c r="B2849" i="1"/>
  <c r="M2848" i="1"/>
  <c r="B2848" i="1"/>
  <c r="M2847" i="1"/>
  <c r="B2847" i="1"/>
  <c r="M2846" i="1"/>
  <c r="B2846" i="1"/>
  <c r="M2845" i="1"/>
  <c r="B2845" i="1"/>
  <c r="M2844" i="1"/>
  <c r="B2844" i="1"/>
  <c r="M2843" i="1"/>
  <c r="B2843" i="1"/>
  <c r="M2842" i="1"/>
  <c r="B2842" i="1"/>
  <c r="M2841" i="1"/>
  <c r="B2841" i="1"/>
  <c r="M2840" i="1"/>
  <c r="B2840" i="1"/>
  <c r="M2839" i="1"/>
  <c r="B2839" i="1"/>
  <c r="M2838" i="1"/>
  <c r="B2838" i="1"/>
  <c r="M2837" i="1"/>
  <c r="B2837" i="1"/>
  <c r="M2836" i="1"/>
  <c r="B2836" i="1"/>
  <c r="M2835" i="1"/>
  <c r="B2835" i="1"/>
  <c r="M2834" i="1"/>
  <c r="B2834" i="1"/>
  <c r="M2833" i="1"/>
  <c r="B2833" i="1"/>
  <c r="M2832" i="1"/>
  <c r="B2832" i="1"/>
  <c r="M2831" i="1"/>
  <c r="B2831" i="1"/>
  <c r="M2830" i="1"/>
  <c r="B2830" i="1"/>
  <c r="M2829" i="1"/>
  <c r="B2829" i="1"/>
  <c r="M2828" i="1"/>
  <c r="B2828" i="1"/>
  <c r="M2827" i="1"/>
  <c r="B2827" i="1"/>
  <c r="M2826" i="1"/>
  <c r="B2826" i="1"/>
  <c r="M2825" i="1"/>
  <c r="B2825" i="1"/>
  <c r="M2824" i="1"/>
  <c r="B2824" i="1"/>
  <c r="M2823" i="1"/>
  <c r="B2823" i="1"/>
  <c r="M2822" i="1"/>
  <c r="B2822" i="1"/>
  <c r="M2821" i="1"/>
  <c r="B2821" i="1"/>
  <c r="M2820" i="1"/>
  <c r="B2820" i="1"/>
  <c r="M2819" i="1"/>
  <c r="B2819" i="1"/>
  <c r="M2818" i="1"/>
  <c r="B2818" i="1"/>
  <c r="M2817" i="1"/>
  <c r="B2817" i="1"/>
  <c r="M2816" i="1"/>
  <c r="B2816" i="1"/>
  <c r="M2815" i="1"/>
  <c r="B2815" i="1"/>
  <c r="M2814" i="1"/>
  <c r="B2814" i="1"/>
  <c r="M2813" i="1"/>
  <c r="B2813" i="1"/>
  <c r="M2812" i="1"/>
  <c r="B2812" i="1"/>
  <c r="M2811" i="1"/>
  <c r="B2811" i="1"/>
  <c r="M2810" i="1"/>
  <c r="B2810" i="1"/>
  <c r="M2809" i="1"/>
  <c r="B2809" i="1"/>
  <c r="M2808" i="1"/>
  <c r="B2808" i="1"/>
  <c r="M2807" i="1"/>
  <c r="B2807" i="1"/>
  <c r="M2806" i="1"/>
  <c r="M2805" i="1"/>
  <c r="B2805" i="1"/>
  <c r="M2804" i="1"/>
  <c r="B2804" i="1"/>
  <c r="M2803" i="1"/>
  <c r="B2803" i="1"/>
  <c r="M2802" i="1"/>
  <c r="B2802" i="1"/>
  <c r="M2801" i="1"/>
  <c r="B2801" i="1"/>
  <c r="M2800" i="1"/>
  <c r="B2800" i="1"/>
  <c r="M2799" i="1"/>
  <c r="B2799" i="1"/>
  <c r="M2798" i="1"/>
  <c r="B2798" i="1"/>
  <c r="M2797" i="1"/>
  <c r="B2797" i="1"/>
  <c r="M2796" i="1"/>
  <c r="B2796" i="1"/>
  <c r="M2795" i="1"/>
  <c r="B2795" i="1"/>
  <c r="M2794" i="1"/>
  <c r="B2794" i="1"/>
  <c r="M2793" i="1"/>
  <c r="B2793" i="1"/>
  <c r="M2792" i="1"/>
  <c r="B2792" i="1"/>
  <c r="M2791" i="1"/>
  <c r="B2791" i="1"/>
  <c r="M2790" i="1"/>
  <c r="B2790" i="1"/>
  <c r="M2789" i="1"/>
  <c r="B2789" i="1"/>
  <c r="M2788" i="1"/>
  <c r="B2788" i="1"/>
  <c r="M2787" i="1"/>
  <c r="B2787" i="1"/>
  <c r="M2786" i="1"/>
  <c r="B2786" i="1"/>
  <c r="M2785" i="1"/>
  <c r="B2785" i="1"/>
  <c r="M2784" i="1"/>
  <c r="B2784" i="1"/>
  <c r="M2783" i="1"/>
  <c r="B2783" i="1"/>
  <c r="M2782" i="1"/>
  <c r="B2782" i="1"/>
  <c r="M2781" i="1"/>
  <c r="B2781" i="1"/>
  <c r="M2780" i="1"/>
  <c r="B2780" i="1"/>
  <c r="M2779" i="1"/>
  <c r="B2779" i="1"/>
  <c r="M2778" i="1"/>
  <c r="B2778" i="1"/>
  <c r="M2777" i="1"/>
  <c r="B2777" i="1"/>
  <c r="M2776" i="1"/>
  <c r="B2776" i="1"/>
  <c r="M2775" i="1"/>
  <c r="B2775" i="1"/>
  <c r="M2774" i="1"/>
  <c r="B2774" i="1"/>
  <c r="M2773" i="1"/>
  <c r="B2773" i="1"/>
  <c r="M2772" i="1"/>
  <c r="B2772" i="1"/>
  <c r="M2771" i="1"/>
  <c r="B2771" i="1"/>
  <c r="M2770" i="1"/>
  <c r="B2770" i="1"/>
  <c r="M2769" i="1"/>
  <c r="B2769" i="1"/>
  <c r="M2768" i="1"/>
  <c r="B2768" i="1"/>
  <c r="M2767" i="1"/>
  <c r="B2767" i="1"/>
  <c r="M2766" i="1"/>
  <c r="B2766" i="1"/>
  <c r="M2765" i="1"/>
  <c r="B2765" i="1"/>
  <c r="M2764" i="1"/>
  <c r="B2764" i="1"/>
  <c r="M2763" i="1"/>
  <c r="B2763" i="1"/>
  <c r="M2762" i="1"/>
  <c r="B2762" i="1"/>
  <c r="M2761" i="1"/>
  <c r="B2761" i="1"/>
  <c r="M2760" i="1"/>
  <c r="B2760" i="1"/>
  <c r="M2759" i="1"/>
  <c r="B2759" i="1"/>
  <c r="M2758" i="1"/>
  <c r="B2758" i="1"/>
  <c r="M2757" i="1"/>
  <c r="B2757" i="1"/>
  <c r="M2756" i="1"/>
  <c r="B2756" i="1"/>
  <c r="M2755" i="1"/>
  <c r="B2755" i="1"/>
  <c r="M2754" i="1"/>
  <c r="B2754" i="1"/>
  <c r="M2753" i="1"/>
  <c r="B2753" i="1"/>
  <c r="M2752" i="1"/>
  <c r="B2752" i="1"/>
  <c r="M2751" i="1"/>
  <c r="B2751" i="1"/>
  <c r="M2750" i="1"/>
  <c r="B2750" i="1"/>
  <c r="M2749" i="1"/>
  <c r="B2749" i="1"/>
  <c r="M2748" i="1"/>
  <c r="B2748" i="1"/>
  <c r="M2747" i="1"/>
  <c r="B2747" i="1"/>
  <c r="M2746" i="1"/>
  <c r="B2746" i="1"/>
  <c r="M2745" i="1"/>
  <c r="B2745" i="1"/>
  <c r="M2744" i="1"/>
  <c r="B2744" i="1"/>
  <c r="M2743" i="1"/>
  <c r="B2743" i="1"/>
  <c r="M2742" i="1"/>
  <c r="B2742" i="1"/>
  <c r="M2741" i="1"/>
  <c r="B2741" i="1"/>
  <c r="M2740" i="1"/>
  <c r="B2740" i="1"/>
  <c r="M2739" i="1"/>
  <c r="B2739" i="1"/>
  <c r="M2738" i="1"/>
  <c r="B2738" i="1"/>
  <c r="M2737" i="1"/>
  <c r="B2737" i="1"/>
  <c r="M2736" i="1"/>
  <c r="B2736" i="1"/>
  <c r="M2735" i="1"/>
  <c r="B2735" i="1"/>
  <c r="M2734" i="1"/>
  <c r="B2734" i="1"/>
  <c r="M2733" i="1"/>
  <c r="B2733" i="1"/>
  <c r="M2732" i="1"/>
  <c r="B2732" i="1"/>
  <c r="M2731" i="1"/>
  <c r="B2731" i="1"/>
  <c r="M2730" i="1"/>
  <c r="B2730" i="1"/>
  <c r="M2729" i="1"/>
  <c r="B2729" i="1"/>
  <c r="M2728" i="1"/>
  <c r="B2728" i="1"/>
  <c r="M2727" i="1"/>
  <c r="B2727" i="1"/>
  <c r="M2726" i="1"/>
  <c r="B2726" i="1"/>
  <c r="M2725" i="1"/>
  <c r="B2725" i="1"/>
  <c r="M2724" i="1"/>
  <c r="B2724" i="1"/>
  <c r="M2723" i="1"/>
  <c r="B2723" i="1"/>
  <c r="M2722" i="1"/>
  <c r="B2722" i="1"/>
  <c r="M2721" i="1"/>
  <c r="B2721" i="1"/>
  <c r="M2720" i="1"/>
  <c r="B2720" i="1"/>
  <c r="M2719" i="1"/>
  <c r="B2719" i="1"/>
  <c r="M2718" i="1"/>
  <c r="B2718" i="1"/>
  <c r="M2717" i="1"/>
  <c r="B2717" i="1"/>
  <c r="M2716" i="1"/>
  <c r="B2716" i="1"/>
  <c r="M2715" i="1"/>
  <c r="B2715" i="1"/>
  <c r="M2714" i="1"/>
  <c r="B2714" i="1"/>
  <c r="M2713" i="1"/>
  <c r="B2713" i="1"/>
  <c r="M2712" i="1"/>
  <c r="B2712" i="1"/>
  <c r="M2711" i="1"/>
  <c r="B2711" i="1"/>
  <c r="M2710" i="1"/>
  <c r="B2710" i="1"/>
  <c r="M2709" i="1"/>
  <c r="B2709" i="1"/>
  <c r="M2708" i="1"/>
  <c r="B2708" i="1"/>
  <c r="M2707" i="1"/>
  <c r="B2707" i="1"/>
  <c r="M2706" i="1"/>
  <c r="B2706" i="1"/>
  <c r="M2705" i="1"/>
  <c r="B2705" i="1"/>
  <c r="M2704" i="1"/>
  <c r="B2704" i="1"/>
  <c r="M2703" i="1"/>
  <c r="B2703" i="1"/>
  <c r="M2702" i="1"/>
  <c r="B2702" i="1"/>
  <c r="M2701" i="1"/>
  <c r="B2701" i="1"/>
  <c r="M2700" i="1"/>
  <c r="B2700" i="1"/>
  <c r="M2699" i="1"/>
  <c r="B2699" i="1"/>
  <c r="M2698" i="1"/>
  <c r="B2698" i="1"/>
  <c r="M2697" i="1"/>
  <c r="B2697" i="1"/>
  <c r="M2696" i="1"/>
  <c r="B2696" i="1"/>
  <c r="M2695" i="1"/>
  <c r="B2695" i="1"/>
  <c r="M2694" i="1"/>
  <c r="B2694" i="1"/>
  <c r="M2693" i="1"/>
  <c r="B2693" i="1"/>
  <c r="M2692" i="1"/>
  <c r="B2692" i="1"/>
  <c r="M2691" i="1"/>
  <c r="B2691" i="1"/>
  <c r="M2690" i="1"/>
  <c r="B2690" i="1"/>
  <c r="M2689" i="1"/>
  <c r="B2689" i="1"/>
  <c r="M2688" i="1"/>
  <c r="B2688" i="1"/>
  <c r="M2687" i="1"/>
  <c r="B2687" i="1"/>
  <c r="M2686" i="1"/>
  <c r="B2686" i="1"/>
  <c r="M2685" i="1"/>
  <c r="B2685" i="1"/>
  <c r="M2684" i="1"/>
  <c r="B2684" i="1"/>
  <c r="M2683" i="1"/>
  <c r="B2683" i="1"/>
  <c r="M2682" i="1"/>
  <c r="B2682" i="1"/>
  <c r="M2681" i="1"/>
  <c r="B2681" i="1"/>
  <c r="M2680" i="1"/>
  <c r="B2680" i="1"/>
  <c r="M2679" i="1"/>
  <c r="B2679" i="1"/>
  <c r="M2678" i="1"/>
  <c r="B2678" i="1"/>
  <c r="M2677" i="1"/>
  <c r="B2677" i="1"/>
  <c r="M2676" i="1"/>
  <c r="B2676" i="1"/>
  <c r="M2675" i="1"/>
  <c r="B2675" i="1"/>
  <c r="M2674" i="1"/>
  <c r="B2674" i="1"/>
  <c r="M2673" i="1"/>
  <c r="B2673" i="1"/>
  <c r="M2672" i="1"/>
  <c r="B2672" i="1"/>
  <c r="M2671" i="1"/>
  <c r="B2671" i="1"/>
  <c r="M2670" i="1"/>
  <c r="B2670" i="1"/>
  <c r="M2669" i="1"/>
  <c r="B2669" i="1"/>
  <c r="M2668" i="1"/>
  <c r="B2668" i="1"/>
  <c r="M2667" i="1"/>
  <c r="B2667" i="1"/>
  <c r="M2666" i="1"/>
  <c r="B2666" i="1"/>
  <c r="M2665" i="1"/>
  <c r="B2665" i="1"/>
  <c r="M2664" i="1"/>
  <c r="B2664" i="1"/>
  <c r="M2663" i="1"/>
  <c r="B2663" i="1"/>
  <c r="M2662" i="1"/>
  <c r="B2662" i="1"/>
  <c r="M2661" i="1"/>
  <c r="B2661" i="1"/>
  <c r="M2660" i="1"/>
  <c r="B2660" i="1"/>
  <c r="M2659" i="1"/>
  <c r="B2659" i="1"/>
  <c r="M2658" i="1"/>
  <c r="B2658" i="1"/>
  <c r="M2657" i="1"/>
  <c r="B2657" i="1"/>
  <c r="M2656" i="1"/>
  <c r="B2656" i="1"/>
  <c r="M2655" i="1"/>
  <c r="B2655" i="1"/>
  <c r="M2654" i="1"/>
  <c r="B2654" i="1"/>
  <c r="M2653" i="1"/>
  <c r="B2653" i="1"/>
  <c r="M2652" i="1"/>
  <c r="B2652" i="1"/>
  <c r="M2651" i="1"/>
  <c r="B2651" i="1"/>
  <c r="M2650" i="1"/>
  <c r="B2650" i="1"/>
  <c r="M2649" i="1"/>
  <c r="B2649" i="1"/>
  <c r="M2648" i="1"/>
  <c r="B2648" i="1"/>
  <c r="M2647" i="1"/>
  <c r="B2647" i="1"/>
  <c r="M2646" i="1"/>
  <c r="B2646" i="1"/>
  <c r="M2645" i="1"/>
  <c r="B2645" i="1"/>
  <c r="M2644" i="1"/>
  <c r="B2644" i="1"/>
  <c r="M2643" i="1"/>
  <c r="B2643" i="1"/>
  <c r="M2642" i="1"/>
  <c r="B2642" i="1"/>
  <c r="M2641" i="1"/>
  <c r="B2641" i="1"/>
  <c r="M2640" i="1"/>
  <c r="B2640" i="1"/>
  <c r="M2639" i="1"/>
  <c r="B2639" i="1"/>
  <c r="M2638" i="1"/>
  <c r="B2638" i="1"/>
  <c r="M2637" i="1"/>
  <c r="B2637" i="1"/>
  <c r="M2636" i="1"/>
  <c r="B2636" i="1"/>
  <c r="M2635" i="1"/>
  <c r="B2635" i="1"/>
  <c r="M2634" i="1"/>
  <c r="B2634" i="1"/>
  <c r="M2633" i="1"/>
  <c r="B2633" i="1"/>
  <c r="M2632" i="1"/>
  <c r="B2632" i="1"/>
  <c r="M2631" i="1"/>
  <c r="B2631" i="1"/>
  <c r="M2630" i="1"/>
  <c r="B2630" i="1"/>
  <c r="M2629" i="1"/>
  <c r="B2629" i="1"/>
  <c r="M2628" i="1"/>
  <c r="B2628" i="1"/>
  <c r="M2627" i="1"/>
  <c r="B2627" i="1"/>
  <c r="M2626" i="1"/>
  <c r="B2626" i="1"/>
  <c r="M2625" i="1"/>
  <c r="B2625" i="1"/>
  <c r="M2624" i="1"/>
  <c r="B2624" i="1"/>
  <c r="M2623" i="1"/>
  <c r="B2623" i="1"/>
  <c r="M2622" i="1"/>
  <c r="B2622" i="1"/>
  <c r="M2621" i="1"/>
  <c r="B2621" i="1"/>
  <c r="M2620" i="1"/>
  <c r="B2620" i="1"/>
  <c r="M2619" i="1"/>
  <c r="B2619" i="1"/>
  <c r="M2618" i="1"/>
  <c r="B2618" i="1"/>
  <c r="M2617" i="1"/>
  <c r="B2617" i="1"/>
  <c r="M2616" i="1"/>
  <c r="B2616" i="1"/>
  <c r="M2615" i="1"/>
  <c r="B2615" i="1"/>
  <c r="M2614" i="1"/>
  <c r="B2614" i="1"/>
  <c r="M2613" i="1"/>
  <c r="B2613" i="1"/>
  <c r="M2612" i="1"/>
  <c r="B2612" i="1"/>
  <c r="M2611" i="1"/>
  <c r="B2611" i="1"/>
  <c r="M2610" i="1"/>
  <c r="B2610" i="1"/>
  <c r="M2609" i="1"/>
  <c r="B2609" i="1"/>
  <c r="M2608" i="1"/>
  <c r="B2608" i="1"/>
  <c r="M2607" i="1"/>
  <c r="B2607" i="1"/>
  <c r="M2606" i="1"/>
  <c r="B2606" i="1"/>
  <c r="M2605" i="1"/>
  <c r="B2605" i="1"/>
  <c r="M2604" i="1"/>
  <c r="B2604" i="1"/>
  <c r="M2603" i="1"/>
  <c r="B2603" i="1"/>
  <c r="M2602" i="1"/>
  <c r="B2602" i="1"/>
  <c r="M2601" i="1"/>
  <c r="B2601" i="1"/>
  <c r="M2600" i="1"/>
  <c r="B2600" i="1"/>
  <c r="M2599" i="1"/>
  <c r="B2599" i="1"/>
  <c r="M2598" i="1"/>
  <c r="B2598" i="1"/>
  <c r="M2597" i="1"/>
  <c r="B2597" i="1"/>
  <c r="M2596" i="1"/>
  <c r="B2596" i="1"/>
  <c r="M2595" i="1"/>
  <c r="B2595" i="1"/>
  <c r="M2594" i="1"/>
  <c r="B2594" i="1"/>
  <c r="M2593" i="1"/>
  <c r="B2593" i="1"/>
  <c r="M2592" i="1"/>
  <c r="B2592" i="1"/>
  <c r="M2591" i="1"/>
  <c r="B2591" i="1"/>
  <c r="M2590" i="1"/>
  <c r="B2590" i="1"/>
  <c r="M2589" i="1"/>
  <c r="B2589" i="1"/>
  <c r="M2588" i="1"/>
  <c r="B2588" i="1"/>
  <c r="M2587" i="1"/>
  <c r="B2587" i="1"/>
  <c r="M2586" i="1"/>
  <c r="B2586" i="1"/>
  <c r="M2585" i="1"/>
  <c r="B2585" i="1"/>
  <c r="M2584" i="1"/>
  <c r="B2584" i="1"/>
  <c r="M2583" i="1"/>
  <c r="B2583" i="1"/>
  <c r="M2582" i="1"/>
  <c r="B2582" i="1"/>
  <c r="M2581" i="1"/>
  <c r="B2581" i="1"/>
  <c r="M2580" i="1"/>
  <c r="B2580" i="1"/>
  <c r="M2579" i="1"/>
  <c r="B2579" i="1"/>
  <c r="M2578" i="1"/>
  <c r="B2578" i="1"/>
  <c r="M2577" i="1"/>
  <c r="B2577" i="1"/>
  <c r="M2576" i="1"/>
  <c r="B2576" i="1"/>
  <c r="M2575" i="1"/>
  <c r="B2575" i="1"/>
  <c r="M2574" i="1"/>
  <c r="B2574" i="1"/>
  <c r="M2573" i="1"/>
  <c r="B2573" i="1"/>
  <c r="M2572" i="1"/>
  <c r="B2572" i="1"/>
  <c r="M2571" i="1"/>
  <c r="B2571" i="1"/>
  <c r="M2570" i="1"/>
  <c r="B2570" i="1"/>
  <c r="M2569" i="1"/>
  <c r="B2569" i="1"/>
  <c r="M2568" i="1"/>
  <c r="B2568" i="1"/>
  <c r="M2567" i="1"/>
  <c r="B2567" i="1"/>
  <c r="M2566" i="1"/>
  <c r="B2566" i="1"/>
  <c r="M2565" i="1"/>
  <c r="B2565" i="1"/>
  <c r="M2564" i="1"/>
  <c r="B2564" i="1"/>
  <c r="M2563" i="1"/>
  <c r="B2563" i="1"/>
  <c r="M2562" i="1"/>
  <c r="B2562" i="1"/>
  <c r="M2561" i="1"/>
  <c r="B2561" i="1"/>
  <c r="M2560" i="1"/>
  <c r="B2560" i="1"/>
  <c r="M2559" i="1"/>
  <c r="B2559" i="1"/>
  <c r="M2558" i="1"/>
  <c r="B2558" i="1"/>
  <c r="M2557" i="1"/>
  <c r="B2557" i="1"/>
  <c r="M2556" i="1"/>
  <c r="B2556" i="1"/>
  <c r="M2555" i="1"/>
  <c r="B2555" i="1"/>
  <c r="M2554" i="1"/>
  <c r="B2554" i="1"/>
  <c r="M2553" i="1"/>
  <c r="B2553" i="1"/>
  <c r="M2552" i="1"/>
  <c r="B2552" i="1"/>
  <c r="M2551" i="1"/>
  <c r="B2551" i="1"/>
  <c r="M2550" i="1"/>
  <c r="B2550" i="1"/>
  <c r="M2549" i="1"/>
  <c r="B2549" i="1"/>
  <c r="M2548" i="1"/>
  <c r="B2548" i="1"/>
  <c r="M2547" i="1"/>
  <c r="B2547" i="1"/>
  <c r="M2546" i="1"/>
  <c r="B2546" i="1"/>
  <c r="M2545" i="1"/>
  <c r="B2545" i="1"/>
  <c r="M2544" i="1"/>
  <c r="B2544" i="1"/>
  <c r="M2543" i="1"/>
  <c r="B2543" i="1"/>
  <c r="M2542" i="1"/>
  <c r="B2542" i="1"/>
  <c r="M2541" i="1"/>
  <c r="B2541" i="1"/>
  <c r="M2540" i="1"/>
  <c r="B2540" i="1"/>
  <c r="M2539" i="1"/>
  <c r="B2539" i="1"/>
  <c r="M2538" i="1"/>
  <c r="B2538" i="1"/>
  <c r="M2537" i="1"/>
  <c r="B2537" i="1"/>
  <c r="M2536" i="1"/>
  <c r="B2536" i="1"/>
  <c r="M2535" i="1"/>
  <c r="B2535" i="1"/>
  <c r="M2534" i="1"/>
  <c r="B2534" i="1"/>
  <c r="M2533" i="1"/>
  <c r="B2533" i="1"/>
  <c r="M2532" i="1"/>
  <c r="B2532" i="1"/>
  <c r="M2531" i="1"/>
  <c r="B2531" i="1"/>
  <c r="M2530" i="1"/>
  <c r="B2530" i="1"/>
  <c r="M2529" i="1"/>
  <c r="B2529" i="1"/>
  <c r="M2528" i="1"/>
  <c r="B2528" i="1"/>
  <c r="M2527" i="1"/>
  <c r="B2527" i="1"/>
  <c r="M2526" i="1"/>
  <c r="B2526" i="1"/>
  <c r="M2525" i="1"/>
  <c r="B2525" i="1"/>
  <c r="M2524" i="1"/>
  <c r="B2524" i="1"/>
  <c r="M2523" i="1"/>
  <c r="B2523" i="1"/>
  <c r="M2522" i="1"/>
  <c r="B2522" i="1"/>
  <c r="M2521" i="1"/>
  <c r="B2521" i="1"/>
  <c r="M2520" i="1"/>
  <c r="B2520" i="1"/>
  <c r="M2519" i="1"/>
  <c r="B2519" i="1"/>
  <c r="M2518" i="1"/>
  <c r="B2518" i="1"/>
  <c r="M2517" i="1"/>
  <c r="B2517" i="1"/>
  <c r="M2516" i="1"/>
  <c r="B2516" i="1"/>
  <c r="M2515" i="1"/>
  <c r="B2515" i="1"/>
  <c r="M2514" i="1"/>
  <c r="B2514" i="1"/>
  <c r="M2513" i="1"/>
  <c r="B2513" i="1"/>
  <c r="M2512" i="1"/>
  <c r="B2512" i="1"/>
  <c r="M2511" i="1"/>
  <c r="B2511" i="1"/>
  <c r="M2510" i="1"/>
  <c r="B2510" i="1"/>
  <c r="M2509" i="1"/>
  <c r="B2509" i="1"/>
  <c r="M2508" i="1"/>
  <c r="B2508" i="1"/>
  <c r="M2507" i="1"/>
  <c r="B2507" i="1"/>
  <c r="M2506" i="1"/>
  <c r="B2506" i="1"/>
  <c r="M2505" i="1"/>
  <c r="B2505" i="1"/>
  <c r="M2504" i="1"/>
  <c r="B2504" i="1"/>
  <c r="M2503" i="1"/>
  <c r="B2503" i="1"/>
  <c r="M2502" i="1"/>
  <c r="B2502" i="1"/>
  <c r="M2501" i="1"/>
  <c r="B2501" i="1"/>
  <c r="M2500" i="1"/>
  <c r="B2500" i="1"/>
  <c r="M2499" i="1"/>
  <c r="B2499" i="1"/>
  <c r="M2498" i="1"/>
  <c r="B2498" i="1"/>
  <c r="M2497" i="1"/>
  <c r="B2497" i="1"/>
  <c r="M2496" i="1"/>
  <c r="B2496" i="1"/>
  <c r="M2495" i="1"/>
  <c r="B2495" i="1"/>
  <c r="M2494" i="1"/>
  <c r="B2494" i="1"/>
  <c r="M2493" i="1"/>
  <c r="B2493" i="1"/>
  <c r="M2492" i="1"/>
  <c r="B2492" i="1"/>
  <c r="M2491" i="1"/>
  <c r="B2491" i="1"/>
  <c r="M2490" i="1"/>
  <c r="B2490" i="1"/>
  <c r="M2489" i="1"/>
  <c r="B2489" i="1"/>
  <c r="M2488" i="1"/>
  <c r="B2488" i="1"/>
  <c r="M2487" i="1"/>
  <c r="B2487" i="1"/>
  <c r="M2486" i="1"/>
  <c r="B2486" i="1"/>
  <c r="M2485" i="1"/>
  <c r="B2485" i="1"/>
  <c r="M2484" i="1"/>
  <c r="B2484" i="1"/>
  <c r="M2483" i="1"/>
  <c r="B2483" i="1"/>
  <c r="M2482" i="1"/>
  <c r="B2482" i="1"/>
  <c r="M2481" i="1"/>
  <c r="B2481" i="1"/>
  <c r="M2480" i="1"/>
  <c r="B2480" i="1"/>
  <c r="M2479" i="1"/>
  <c r="B2479" i="1"/>
  <c r="M2478" i="1"/>
  <c r="B2478" i="1"/>
  <c r="M2477" i="1"/>
  <c r="B2477" i="1"/>
  <c r="M2476" i="1"/>
  <c r="B2476" i="1"/>
  <c r="M2475" i="1"/>
  <c r="B2475" i="1"/>
  <c r="M2474" i="1"/>
  <c r="B2474" i="1"/>
  <c r="M2473" i="1"/>
  <c r="B2473" i="1"/>
  <c r="M2472" i="1"/>
  <c r="B2472" i="1"/>
  <c r="M2471" i="1"/>
  <c r="B2471" i="1"/>
  <c r="M2470" i="1"/>
  <c r="B2470" i="1"/>
  <c r="M2469" i="1"/>
  <c r="B2469" i="1"/>
  <c r="M2468" i="1"/>
  <c r="B2468" i="1"/>
  <c r="M2467" i="1"/>
  <c r="B2467" i="1"/>
  <c r="M2466" i="1"/>
  <c r="B2466" i="1"/>
  <c r="M2465" i="1"/>
  <c r="B2465" i="1"/>
  <c r="M2464" i="1"/>
  <c r="B2464" i="1"/>
  <c r="M2463" i="1"/>
  <c r="B2463" i="1"/>
  <c r="M2462" i="1"/>
  <c r="B2462" i="1"/>
  <c r="M2461" i="1"/>
  <c r="B2461" i="1"/>
  <c r="M2460" i="1"/>
  <c r="B2460" i="1"/>
  <c r="M2459" i="1"/>
  <c r="B2459" i="1"/>
  <c r="M2458" i="1"/>
  <c r="B2458" i="1"/>
  <c r="M2457" i="1"/>
  <c r="B2457" i="1"/>
  <c r="M2456" i="1"/>
  <c r="B2456" i="1"/>
  <c r="M2455" i="1"/>
  <c r="B2455" i="1"/>
  <c r="M2454" i="1"/>
  <c r="B2454" i="1"/>
  <c r="M2453" i="1"/>
  <c r="B2453" i="1"/>
  <c r="M2452" i="1"/>
  <c r="B2452" i="1"/>
  <c r="M2451" i="1"/>
  <c r="B2451" i="1"/>
  <c r="M2450" i="1"/>
  <c r="B2450" i="1"/>
  <c r="M2449" i="1"/>
  <c r="B2449" i="1"/>
  <c r="M2448" i="1"/>
  <c r="B2448" i="1"/>
  <c r="M2447" i="1"/>
  <c r="B2447" i="1"/>
  <c r="M2446" i="1"/>
  <c r="B2446" i="1"/>
  <c r="M2445" i="1"/>
  <c r="B2445" i="1"/>
  <c r="M2444" i="1"/>
  <c r="B2444" i="1"/>
  <c r="M2443" i="1"/>
  <c r="B2443" i="1"/>
  <c r="M2442" i="1"/>
  <c r="B2442" i="1"/>
  <c r="M2441" i="1"/>
  <c r="B2441" i="1"/>
  <c r="M2440" i="1"/>
  <c r="B2440" i="1"/>
  <c r="M2439" i="1"/>
  <c r="B2439" i="1"/>
  <c r="M2438" i="1"/>
  <c r="B2438" i="1"/>
  <c r="M2437" i="1"/>
  <c r="B2437" i="1"/>
  <c r="M2436" i="1"/>
  <c r="B2436" i="1"/>
  <c r="M2435" i="1"/>
  <c r="B2435" i="1"/>
  <c r="M2434" i="1"/>
  <c r="B2434" i="1"/>
  <c r="M2433" i="1"/>
  <c r="B2433" i="1"/>
  <c r="M2432" i="1"/>
  <c r="B2432" i="1"/>
  <c r="M2431" i="1"/>
  <c r="B2431" i="1"/>
  <c r="M2430" i="1"/>
  <c r="B2430" i="1"/>
  <c r="M2429" i="1"/>
  <c r="B2429" i="1"/>
  <c r="M2428" i="1"/>
  <c r="B2428" i="1"/>
  <c r="M2427" i="1"/>
  <c r="B2427" i="1"/>
  <c r="M2426" i="1"/>
  <c r="B2426" i="1"/>
  <c r="M2425" i="1"/>
  <c r="B2425" i="1"/>
  <c r="M2424" i="1"/>
  <c r="B2424" i="1"/>
  <c r="M2423" i="1"/>
  <c r="B2423" i="1"/>
  <c r="M2422" i="1"/>
  <c r="B2422" i="1"/>
  <c r="M2421" i="1"/>
  <c r="B2421" i="1"/>
  <c r="M2420" i="1"/>
  <c r="B2420" i="1"/>
  <c r="M2419" i="1"/>
  <c r="B2419" i="1"/>
  <c r="M2418" i="1"/>
  <c r="B2418" i="1"/>
  <c r="M2417" i="1"/>
  <c r="B2417" i="1"/>
  <c r="M2416" i="1"/>
  <c r="B2416" i="1"/>
  <c r="M2415" i="1"/>
  <c r="B2415" i="1"/>
  <c r="M2414" i="1"/>
  <c r="B2414" i="1"/>
  <c r="M2413" i="1"/>
  <c r="B2413" i="1"/>
  <c r="M2412" i="1"/>
  <c r="B2412" i="1"/>
  <c r="M2411" i="1"/>
  <c r="B2411" i="1"/>
  <c r="M2410" i="1"/>
  <c r="B2410" i="1"/>
  <c r="M2409" i="1"/>
  <c r="B2409" i="1"/>
  <c r="M2408" i="1"/>
  <c r="B2408" i="1"/>
  <c r="M2407" i="1"/>
  <c r="B2407" i="1"/>
  <c r="M2406" i="1"/>
  <c r="B2406" i="1"/>
  <c r="M2405" i="1"/>
  <c r="B2405" i="1"/>
  <c r="M2404" i="1"/>
  <c r="B2404" i="1"/>
  <c r="M2403" i="1"/>
  <c r="B2403" i="1"/>
  <c r="M2402" i="1"/>
  <c r="B2402" i="1"/>
  <c r="M2401" i="1"/>
  <c r="B2401" i="1"/>
  <c r="M2400" i="1"/>
  <c r="B2400" i="1"/>
  <c r="M2399" i="1"/>
  <c r="B2399" i="1"/>
  <c r="M2398" i="1"/>
  <c r="B2398" i="1"/>
  <c r="M2397" i="1"/>
  <c r="B2397" i="1"/>
  <c r="M2396" i="1"/>
  <c r="B2396" i="1"/>
  <c r="M2395" i="1"/>
  <c r="B2395" i="1"/>
  <c r="M2394" i="1"/>
  <c r="B2394" i="1"/>
  <c r="M2393" i="1"/>
  <c r="B2393" i="1"/>
  <c r="M2392" i="1"/>
  <c r="B2392" i="1"/>
  <c r="M2391" i="1"/>
  <c r="B2391" i="1"/>
  <c r="M2390" i="1"/>
  <c r="B2390" i="1"/>
  <c r="M2389" i="1"/>
  <c r="B2389" i="1"/>
  <c r="M2388" i="1"/>
  <c r="B2388" i="1"/>
  <c r="M2387" i="1"/>
  <c r="B2387" i="1"/>
  <c r="M2386" i="1"/>
  <c r="B2386" i="1"/>
  <c r="M2385" i="1"/>
  <c r="B2385" i="1"/>
  <c r="M2384" i="1"/>
  <c r="B2384" i="1"/>
  <c r="M2383" i="1"/>
  <c r="B2383" i="1"/>
  <c r="M2382" i="1"/>
  <c r="B2382" i="1"/>
  <c r="M2381" i="1"/>
  <c r="B2381" i="1"/>
  <c r="M2380" i="1"/>
  <c r="B2380" i="1"/>
  <c r="M2379" i="1"/>
  <c r="B2379" i="1"/>
  <c r="M2378" i="1"/>
  <c r="B2378" i="1"/>
  <c r="M2377" i="1"/>
  <c r="B2377" i="1"/>
  <c r="M2376" i="1"/>
  <c r="B2376" i="1"/>
  <c r="M2375" i="1"/>
  <c r="B2375" i="1"/>
  <c r="M2374" i="1"/>
  <c r="B2374" i="1"/>
  <c r="M2373" i="1"/>
  <c r="B2373" i="1"/>
  <c r="M2372" i="1"/>
  <c r="B2372" i="1"/>
  <c r="M2371" i="1"/>
  <c r="B2371" i="1"/>
  <c r="M2370" i="1"/>
  <c r="B2370" i="1"/>
  <c r="M2369" i="1"/>
  <c r="B2369" i="1"/>
  <c r="M2368" i="1"/>
  <c r="B2368" i="1"/>
  <c r="M2367" i="1"/>
  <c r="B2367" i="1"/>
  <c r="M2366" i="1"/>
  <c r="B2366" i="1"/>
  <c r="M2365" i="1"/>
  <c r="B2365" i="1"/>
  <c r="M2364" i="1"/>
  <c r="B2364" i="1"/>
  <c r="M2363" i="1"/>
  <c r="B2363" i="1"/>
  <c r="M2362" i="1"/>
  <c r="B2362" i="1"/>
  <c r="M2361" i="1"/>
  <c r="B2361" i="1"/>
  <c r="M2360" i="1"/>
  <c r="B2360" i="1"/>
  <c r="M2359" i="1"/>
  <c r="B2359" i="1"/>
  <c r="M2358" i="1"/>
  <c r="B2358" i="1"/>
  <c r="M2357" i="1"/>
  <c r="B2357" i="1"/>
  <c r="M2356" i="1"/>
  <c r="B2356" i="1"/>
  <c r="M2355" i="1"/>
  <c r="B2355" i="1"/>
  <c r="M2353" i="1"/>
  <c r="B2353" i="1"/>
  <c r="M2352" i="1"/>
  <c r="B2352" i="1"/>
  <c r="M2350" i="1"/>
  <c r="B2350" i="1"/>
  <c r="M2349" i="1"/>
  <c r="B2349" i="1"/>
  <c r="M2348" i="1"/>
  <c r="B2348" i="1"/>
  <c r="M2347" i="1"/>
  <c r="B2347" i="1"/>
  <c r="M2346" i="1"/>
  <c r="B2346" i="1"/>
  <c r="M2345" i="1"/>
  <c r="B2345" i="1"/>
  <c r="M2344" i="1"/>
  <c r="B2344" i="1"/>
  <c r="M2342" i="1"/>
  <c r="B2342" i="1"/>
  <c r="M2341" i="1"/>
  <c r="B2341" i="1"/>
  <c r="M2340" i="1"/>
  <c r="B2340" i="1"/>
  <c r="M2339" i="1"/>
  <c r="B2339" i="1"/>
  <c r="M2337" i="1"/>
  <c r="B2337" i="1"/>
  <c r="M2336" i="1"/>
  <c r="B2336" i="1"/>
  <c r="M2335" i="1"/>
  <c r="B2335" i="1"/>
  <c r="M2334" i="1"/>
  <c r="B2334" i="1"/>
  <c r="M2333" i="1"/>
  <c r="B2333" i="1"/>
  <c r="M2332" i="1"/>
  <c r="B2332" i="1"/>
  <c r="M2331" i="1"/>
  <c r="B2331" i="1"/>
  <c r="M2330" i="1"/>
  <c r="B2330" i="1"/>
  <c r="M2329" i="1"/>
  <c r="B2329" i="1"/>
  <c r="M2328" i="1"/>
  <c r="B2328" i="1"/>
  <c r="M2327" i="1"/>
  <c r="B2327" i="1"/>
  <c r="M2326" i="1"/>
  <c r="B2326" i="1"/>
  <c r="M2325" i="1"/>
  <c r="B2325" i="1"/>
  <c r="M2324" i="1"/>
  <c r="B2324" i="1"/>
  <c r="M2323" i="1"/>
  <c r="B2323" i="1"/>
  <c r="M2322" i="1"/>
  <c r="B2322" i="1"/>
  <c r="M2321" i="1"/>
  <c r="B2321" i="1"/>
  <c r="M2320" i="1"/>
  <c r="B2320" i="1"/>
  <c r="M2319" i="1"/>
  <c r="B2319" i="1"/>
  <c r="M2318" i="1"/>
  <c r="B2318" i="1"/>
  <c r="M2317" i="1"/>
  <c r="B2317" i="1"/>
  <c r="M2316" i="1"/>
  <c r="B2316" i="1"/>
  <c r="M2315" i="1"/>
  <c r="B2315" i="1"/>
  <c r="M2313" i="1"/>
  <c r="B2313" i="1"/>
  <c r="M2312" i="1"/>
  <c r="B2312" i="1"/>
  <c r="M2310" i="1"/>
  <c r="B2310" i="1"/>
  <c r="M2309" i="1"/>
  <c r="B2309" i="1"/>
  <c r="M2308" i="1"/>
  <c r="B2308" i="1"/>
  <c r="M2307" i="1"/>
  <c r="B2307" i="1"/>
  <c r="M2306" i="1"/>
  <c r="B2306" i="1"/>
  <c r="M2305" i="1"/>
  <c r="B2305" i="1"/>
  <c r="M2304" i="1"/>
  <c r="B2304" i="1"/>
  <c r="M2303" i="1"/>
  <c r="B2303" i="1"/>
  <c r="M2302" i="1"/>
  <c r="B2302" i="1"/>
  <c r="M2301" i="1"/>
  <c r="B2301" i="1"/>
  <c r="M2300" i="1"/>
  <c r="B2300" i="1"/>
  <c r="M2299" i="1"/>
  <c r="B2299" i="1"/>
  <c r="M2298" i="1"/>
  <c r="B2298" i="1"/>
  <c r="M2297" i="1"/>
  <c r="B2297" i="1"/>
  <c r="M2296" i="1"/>
  <c r="B2296" i="1"/>
  <c r="M2294" i="1"/>
  <c r="B2294" i="1"/>
  <c r="M2293" i="1"/>
  <c r="B2293" i="1"/>
  <c r="M2292" i="1"/>
  <c r="B2292" i="1"/>
  <c r="M2291" i="1"/>
  <c r="B2291" i="1"/>
  <c r="M2290" i="1"/>
  <c r="B2290" i="1"/>
  <c r="M2289" i="1"/>
  <c r="B2289" i="1"/>
  <c r="M2288" i="1"/>
  <c r="B2288" i="1"/>
  <c r="M2287" i="1"/>
  <c r="B2287" i="1"/>
  <c r="M2286" i="1"/>
  <c r="B2286" i="1"/>
  <c r="M2285" i="1"/>
  <c r="B2285" i="1"/>
  <c r="M2284" i="1"/>
  <c r="B2284" i="1"/>
  <c r="M2283" i="1"/>
  <c r="B2283" i="1"/>
  <c r="M2282" i="1"/>
  <c r="B2282" i="1"/>
  <c r="M2281" i="1"/>
  <c r="B2281" i="1"/>
  <c r="M2280" i="1"/>
  <c r="B2280" i="1"/>
  <c r="M2279" i="1"/>
  <c r="B2279" i="1"/>
  <c r="M2278" i="1"/>
  <c r="B2278" i="1"/>
  <c r="M2277" i="1"/>
  <c r="B2277" i="1"/>
  <c r="M2276" i="1"/>
  <c r="B2276" i="1"/>
  <c r="M2275" i="1"/>
  <c r="B2275" i="1"/>
  <c r="M2274" i="1"/>
  <c r="B2274" i="1"/>
  <c r="M2273" i="1"/>
  <c r="B2273" i="1"/>
  <c r="M2272" i="1"/>
  <c r="B2272" i="1"/>
  <c r="M2271" i="1"/>
  <c r="B2271" i="1"/>
  <c r="M2270" i="1"/>
  <c r="B2270" i="1"/>
  <c r="M2269" i="1"/>
  <c r="B2269" i="1"/>
  <c r="M2268" i="1"/>
  <c r="B2268" i="1"/>
  <c r="M2267" i="1"/>
  <c r="B2267" i="1"/>
  <c r="M2266" i="1"/>
  <c r="B2266" i="1"/>
  <c r="M2265" i="1"/>
  <c r="B2265" i="1"/>
  <c r="M2263" i="1"/>
  <c r="B2263" i="1"/>
  <c r="M2262" i="1"/>
  <c r="B2262" i="1"/>
  <c r="M2261" i="1"/>
  <c r="B2261" i="1"/>
  <c r="M2260" i="1"/>
  <c r="B2260" i="1"/>
  <c r="M2259" i="1"/>
  <c r="B2259" i="1"/>
  <c r="M2258" i="1"/>
  <c r="B2258" i="1"/>
  <c r="M2257" i="1"/>
  <c r="B2257" i="1"/>
  <c r="M2256" i="1"/>
  <c r="B2256" i="1"/>
  <c r="M2255" i="1"/>
  <c r="B2255" i="1"/>
  <c r="M2254" i="1"/>
  <c r="B2254" i="1"/>
  <c r="M2253" i="1"/>
  <c r="B2253" i="1"/>
  <c r="M2252" i="1"/>
  <c r="B2252" i="1"/>
  <c r="M2251" i="1"/>
  <c r="B2251" i="1"/>
  <c r="M2250" i="1"/>
  <c r="B2250" i="1"/>
  <c r="M2249" i="1"/>
  <c r="B2249" i="1"/>
  <c r="M2248" i="1"/>
  <c r="B2248" i="1"/>
  <c r="M2247" i="1"/>
  <c r="B2247" i="1"/>
  <c r="M2246" i="1"/>
  <c r="B2246" i="1"/>
  <c r="M2245" i="1"/>
  <c r="B2245" i="1"/>
  <c r="M2244" i="1"/>
  <c r="B2244" i="1"/>
  <c r="M2243" i="1"/>
  <c r="B2243" i="1"/>
  <c r="M2242" i="1"/>
  <c r="B2242" i="1"/>
  <c r="M2241" i="1"/>
  <c r="B2241" i="1"/>
  <c r="M2240" i="1"/>
  <c r="B2240" i="1"/>
  <c r="M2239" i="1"/>
  <c r="B2239" i="1"/>
  <c r="M2238" i="1"/>
  <c r="B2238" i="1"/>
  <c r="M2237" i="1"/>
  <c r="B2237" i="1"/>
  <c r="M2236" i="1"/>
  <c r="B2236" i="1"/>
  <c r="M2235" i="1"/>
  <c r="B2235" i="1"/>
  <c r="M2234" i="1"/>
  <c r="B2234" i="1"/>
  <c r="M2233" i="1"/>
  <c r="B2233" i="1"/>
  <c r="M2232" i="1"/>
  <c r="B2232" i="1"/>
  <c r="M2231" i="1"/>
  <c r="B2231" i="1"/>
  <c r="M2230" i="1"/>
  <c r="B2230" i="1"/>
  <c r="M2229" i="1"/>
  <c r="B2229" i="1"/>
  <c r="M2228" i="1"/>
  <c r="B2228" i="1"/>
  <c r="M2227" i="1"/>
  <c r="B2227" i="1"/>
  <c r="M2226" i="1"/>
  <c r="B2226" i="1"/>
  <c r="M2225" i="1"/>
  <c r="B2225" i="1"/>
  <c r="M2224" i="1"/>
  <c r="B2224" i="1"/>
  <c r="M2223" i="1"/>
  <c r="B2223" i="1"/>
  <c r="M2222" i="1"/>
  <c r="B2222" i="1"/>
  <c r="M2221" i="1"/>
  <c r="B2221" i="1"/>
  <c r="M2220" i="1"/>
  <c r="B2220" i="1"/>
  <c r="M2219" i="1"/>
  <c r="B2219" i="1"/>
  <c r="M2218" i="1"/>
  <c r="B2218" i="1"/>
  <c r="M2217" i="1"/>
  <c r="B2217" i="1"/>
  <c r="M2216" i="1"/>
  <c r="B2216" i="1"/>
  <c r="M2215" i="1"/>
  <c r="B2215" i="1"/>
  <c r="M2214" i="1"/>
  <c r="B2214" i="1"/>
  <c r="M2213" i="1"/>
  <c r="B2213" i="1"/>
  <c r="M2212" i="1"/>
  <c r="B2212" i="1"/>
  <c r="M2211" i="1"/>
  <c r="B2211" i="1"/>
  <c r="M2210" i="1"/>
  <c r="B2210" i="1"/>
  <c r="M2209" i="1"/>
  <c r="B2209" i="1"/>
  <c r="M2208" i="1"/>
  <c r="B2208" i="1"/>
  <c r="M2207" i="1"/>
  <c r="B2207" i="1"/>
  <c r="M2206" i="1"/>
  <c r="B2206" i="1"/>
  <c r="M2205" i="1"/>
  <c r="B2205" i="1"/>
  <c r="M2204" i="1"/>
  <c r="B2204" i="1"/>
  <c r="M2203" i="1"/>
  <c r="B2203" i="1"/>
  <c r="M2202" i="1"/>
  <c r="B2202" i="1"/>
  <c r="M2201" i="1"/>
  <c r="B2201" i="1"/>
  <c r="M2200" i="1"/>
  <c r="B2200" i="1"/>
  <c r="M2199" i="1"/>
  <c r="B2199" i="1"/>
  <c r="M2198" i="1"/>
  <c r="B2198" i="1"/>
  <c r="M2197" i="1"/>
  <c r="B2197" i="1"/>
  <c r="M2196" i="1"/>
  <c r="B2196" i="1"/>
  <c r="M2195" i="1"/>
  <c r="B2195" i="1"/>
  <c r="M2194" i="1"/>
  <c r="B2194" i="1"/>
  <c r="M2192" i="1"/>
  <c r="B2192" i="1"/>
  <c r="M2191" i="1"/>
  <c r="B2191" i="1"/>
  <c r="M2189" i="1"/>
  <c r="B2189" i="1"/>
  <c r="M2188" i="1"/>
  <c r="B2188" i="1"/>
  <c r="M2187" i="1"/>
  <c r="B2187" i="1"/>
  <c r="M2186" i="1"/>
  <c r="B2186" i="1"/>
  <c r="M2185" i="1"/>
  <c r="B2185" i="1"/>
  <c r="M2184" i="1"/>
  <c r="B2184" i="1"/>
  <c r="M2183" i="1"/>
  <c r="B2183" i="1"/>
  <c r="M2182" i="1"/>
  <c r="B2182" i="1"/>
  <c r="M2181" i="1"/>
  <c r="B2181" i="1"/>
  <c r="M2180" i="1"/>
  <c r="B2180" i="1"/>
  <c r="M2179" i="1"/>
  <c r="B2179" i="1"/>
  <c r="M2178" i="1"/>
  <c r="B2178" i="1"/>
  <c r="M2177" i="1"/>
  <c r="B2177" i="1"/>
  <c r="M2176" i="1"/>
  <c r="B2176" i="1"/>
  <c r="M2175" i="1"/>
  <c r="B2175" i="1"/>
  <c r="M2174" i="1"/>
  <c r="B2174" i="1"/>
  <c r="M2173" i="1"/>
  <c r="B2173" i="1"/>
  <c r="M2172" i="1"/>
  <c r="B2172" i="1"/>
  <c r="M2171" i="1"/>
  <c r="B2171" i="1"/>
  <c r="M2170" i="1"/>
  <c r="B2170" i="1"/>
  <c r="M2169" i="1"/>
  <c r="B2169" i="1"/>
  <c r="M2168" i="1"/>
  <c r="B2168" i="1"/>
  <c r="M2167" i="1"/>
  <c r="B2167" i="1"/>
  <c r="M2166" i="1"/>
  <c r="B2166" i="1"/>
  <c r="M2165" i="1"/>
  <c r="B2165" i="1"/>
  <c r="M2164" i="1"/>
  <c r="B2164" i="1"/>
  <c r="M2163" i="1"/>
  <c r="B2163" i="1"/>
  <c r="M2162" i="1"/>
  <c r="B2162" i="1"/>
  <c r="M2161" i="1"/>
  <c r="B2161" i="1"/>
  <c r="M2160" i="1"/>
  <c r="B2160" i="1"/>
  <c r="M2159" i="1"/>
  <c r="B2159" i="1"/>
  <c r="M2158" i="1"/>
  <c r="B2158" i="1"/>
  <c r="M2157" i="1"/>
  <c r="B2157" i="1"/>
  <c r="M2156" i="1"/>
  <c r="B2156" i="1"/>
  <c r="M2155" i="1"/>
  <c r="B2155" i="1"/>
  <c r="M2154" i="1"/>
  <c r="B2154" i="1"/>
  <c r="M2153" i="1"/>
  <c r="B2153" i="1"/>
  <c r="M2152" i="1"/>
  <c r="B2152" i="1"/>
  <c r="M2151" i="1"/>
  <c r="B2151" i="1"/>
  <c r="M2150" i="1"/>
  <c r="B2150" i="1"/>
  <c r="M2149" i="1"/>
  <c r="B2149" i="1"/>
  <c r="M2148" i="1"/>
  <c r="B2148" i="1"/>
  <c r="M2147" i="1"/>
  <c r="B2147" i="1"/>
  <c r="M2146" i="1"/>
  <c r="B2146" i="1"/>
  <c r="M2145" i="1"/>
  <c r="B2145" i="1"/>
  <c r="M2144" i="1"/>
  <c r="B2144" i="1"/>
  <c r="M2143" i="1"/>
  <c r="B2143" i="1"/>
  <c r="M2142" i="1"/>
  <c r="B2142" i="1"/>
  <c r="M2141" i="1"/>
  <c r="B2141" i="1"/>
  <c r="M2140" i="1"/>
  <c r="B2140" i="1"/>
  <c r="M2139" i="1"/>
  <c r="B2139" i="1"/>
  <c r="M2138" i="1"/>
  <c r="B2138" i="1"/>
  <c r="M2137" i="1"/>
  <c r="B2137" i="1"/>
  <c r="M2136" i="1"/>
  <c r="B2136" i="1"/>
  <c r="M2135" i="1"/>
  <c r="B2135" i="1"/>
  <c r="M2134" i="1"/>
  <c r="B2134" i="1"/>
  <c r="M2133" i="1"/>
  <c r="B2133" i="1"/>
  <c r="M2132" i="1"/>
  <c r="B2132" i="1"/>
  <c r="M2131" i="1"/>
  <c r="B2131" i="1"/>
  <c r="M2130" i="1"/>
  <c r="B2130" i="1"/>
  <c r="M2129" i="1"/>
  <c r="B2129" i="1"/>
  <c r="M2128" i="1"/>
  <c r="B2128" i="1"/>
  <c r="M2127" i="1"/>
  <c r="B2127" i="1"/>
  <c r="M2126" i="1"/>
  <c r="B2126" i="1"/>
  <c r="M2125" i="1"/>
  <c r="B2125" i="1"/>
  <c r="M2124" i="1"/>
  <c r="B2124" i="1"/>
  <c r="M2123" i="1"/>
  <c r="B2123" i="1"/>
  <c r="M2122" i="1"/>
  <c r="B2122" i="1"/>
  <c r="M2121" i="1"/>
  <c r="B2121" i="1"/>
  <c r="M2120" i="1"/>
  <c r="B2120" i="1"/>
  <c r="M2119" i="1"/>
  <c r="B2119" i="1"/>
  <c r="M2118" i="1"/>
  <c r="B2118" i="1"/>
  <c r="M2117" i="1"/>
  <c r="B2117" i="1"/>
  <c r="M2116" i="1"/>
  <c r="B2116" i="1"/>
  <c r="M2115" i="1"/>
  <c r="B2115" i="1"/>
  <c r="M2114" i="1"/>
  <c r="B2114" i="1"/>
  <c r="M2113" i="1"/>
  <c r="B2113" i="1"/>
  <c r="M2112" i="1"/>
  <c r="B2112" i="1"/>
  <c r="M2111" i="1"/>
  <c r="B2111" i="1"/>
  <c r="M2110" i="1"/>
  <c r="B2110" i="1"/>
  <c r="M2109" i="1"/>
  <c r="B2109" i="1"/>
  <c r="M2108" i="1"/>
  <c r="B2108" i="1"/>
  <c r="M2107" i="1"/>
  <c r="B2107" i="1"/>
  <c r="M2106" i="1"/>
  <c r="B2106" i="1"/>
  <c r="M2105" i="1"/>
  <c r="B2105" i="1"/>
  <c r="M2104" i="1"/>
  <c r="B2104" i="1"/>
  <c r="M2103" i="1"/>
  <c r="B2103" i="1"/>
  <c r="M2102" i="1"/>
  <c r="B2102" i="1"/>
  <c r="M2101" i="1"/>
  <c r="B2101" i="1"/>
  <c r="M2100" i="1"/>
  <c r="B2100" i="1"/>
  <c r="M2099" i="1"/>
  <c r="B2099" i="1"/>
  <c r="M2098" i="1"/>
  <c r="B2098" i="1"/>
  <c r="M2097" i="1"/>
  <c r="B2097" i="1"/>
  <c r="M2096" i="1"/>
  <c r="B2096" i="1"/>
  <c r="M2095" i="1"/>
  <c r="B2095" i="1"/>
  <c r="M2094" i="1"/>
  <c r="B2094" i="1"/>
  <c r="M2093" i="1"/>
  <c r="B2093" i="1"/>
  <c r="M2092" i="1"/>
  <c r="B2092" i="1"/>
  <c r="M2091" i="1"/>
  <c r="B2091" i="1"/>
  <c r="M2090" i="1"/>
  <c r="B2090" i="1"/>
  <c r="M2089" i="1"/>
  <c r="B2089" i="1"/>
  <c r="M2088" i="1"/>
  <c r="B2088" i="1"/>
  <c r="M2087" i="1"/>
  <c r="B2087" i="1"/>
  <c r="M2086" i="1"/>
  <c r="B2086" i="1"/>
  <c r="M2085" i="1"/>
  <c r="B2085" i="1"/>
  <c r="M2084" i="1"/>
  <c r="B2084" i="1"/>
  <c r="M2083" i="1"/>
  <c r="B2083" i="1"/>
  <c r="M2082" i="1"/>
  <c r="B2082" i="1"/>
  <c r="M2081" i="1"/>
  <c r="B2081" i="1"/>
  <c r="M2080" i="1"/>
  <c r="B2080" i="1"/>
  <c r="M2079" i="1"/>
  <c r="B2079" i="1"/>
  <c r="M2078" i="1"/>
  <c r="B2078" i="1"/>
  <c r="M2077" i="1"/>
  <c r="B2077" i="1"/>
  <c r="M2076" i="1"/>
  <c r="B2076" i="1"/>
  <c r="M2075" i="1"/>
  <c r="B2075" i="1"/>
  <c r="M2074" i="1"/>
  <c r="B2074" i="1"/>
  <c r="M2073" i="1"/>
  <c r="B2073" i="1"/>
  <c r="M2072" i="1"/>
  <c r="B2072" i="1"/>
  <c r="M2071" i="1"/>
  <c r="B2071" i="1"/>
  <c r="M2070" i="1"/>
  <c r="B2070" i="1"/>
  <c r="M2069" i="1"/>
  <c r="B2069" i="1"/>
  <c r="M2068" i="1"/>
  <c r="M2067" i="1"/>
  <c r="B2067" i="1"/>
  <c r="M2066" i="1"/>
  <c r="B2066" i="1"/>
  <c r="M2065" i="1"/>
  <c r="B2065" i="1"/>
  <c r="M2064" i="1"/>
  <c r="B2064" i="1"/>
  <c r="M2063" i="1"/>
  <c r="B2063" i="1"/>
  <c r="M2062" i="1"/>
  <c r="B2062" i="1"/>
  <c r="M2061" i="1"/>
  <c r="B2061" i="1"/>
  <c r="M2060" i="1"/>
  <c r="B2060" i="1"/>
  <c r="M2059" i="1"/>
  <c r="B2059" i="1"/>
  <c r="M2058" i="1"/>
  <c r="B2058" i="1"/>
  <c r="M2057" i="1"/>
  <c r="B2057" i="1"/>
  <c r="M2056" i="1"/>
  <c r="B2056" i="1"/>
  <c r="M2055" i="1"/>
  <c r="B2055" i="1"/>
  <c r="M2054" i="1"/>
  <c r="B2054" i="1"/>
  <c r="M2053" i="1"/>
  <c r="B2053" i="1"/>
  <c r="M2052" i="1"/>
  <c r="B2052" i="1"/>
  <c r="M2051" i="1"/>
  <c r="B2051" i="1"/>
  <c r="M2050" i="1"/>
  <c r="B2050" i="1"/>
  <c r="M2049" i="1"/>
  <c r="B2049" i="1"/>
  <c r="M2048" i="1"/>
  <c r="B2048" i="1"/>
  <c r="M2047" i="1"/>
  <c r="B2047" i="1"/>
  <c r="M2046" i="1"/>
  <c r="B2046" i="1"/>
  <c r="M2045" i="1"/>
  <c r="B2045" i="1"/>
  <c r="M2044" i="1"/>
  <c r="B2044" i="1"/>
  <c r="M2043" i="1"/>
  <c r="B2043" i="1"/>
  <c r="M2042" i="1"/>
  <c r="B2042" i="1"/>
  <c r="M2041" i="1"/>
  <c r="B2041" i="1"/>
  <c r="M2040" i="1"/>
  <c r="B2040" i="1"/>
  <c r="M2039" i="1"/>
  <c r="B2039" i="1"/>
  <c r="M2038" i="1"/>
  <c r="B2038" i="1"/>
  <c r="M2037" i="1"/>
  <c r="B2037" i="1"/>
  <c r="M2036" i="1"/>
  <c r="B2036" i="1"/>
  <c r="M2035" i="1"/>
  <c r="B2035" i="1"/>
  <c r="M2034" i="1"/>
  <c r="B2034" i="1"/>
  <c r="M2033" i="1"/>
  <c r="B2033" i="1"/>
  <c r="M2032" i="1"/>
  <c r="B2032" i="1"/>
  <c r="M2031" i="1"/>
  <c r="B2031" i="1"/>
  <c r="M2030" i="1"/>
  <c r="B2030" i="1"/>
  <c r="M2029" i="1"/>
  <c r="B2029" i="1"/>
  <c r="M2028" i="1"/>
  <c r="B2028" i="1"/>
  <c r="M2027" i="1"/>
  <c r="B2027" i="1"/>
  <c r="M2026" i="1"/>
  <c r="B2026" i="1"/>
  <c r="M2025" i="1"/>
  <c r="B2025" i="1"/>
  <c r="M2024" i="1"/>
  <c r="B2024" i="1"/>
  <c r="M2023" i="1"/>
  <c r="B2023" i="1"/>
  <c r="M2022" i="1"/>
  <c r="B2022" i="1"/>
  <c r="M2021" i="1"/>
  <c r="B2021" i="1"/>
  <c r="M2020" i="1"/>
  <c r="B2020" i="1"/>
  <c r="M2019" i="1"/>
  <c r="B2019" i="1"/>
  <c r="M2018" i="1"/>
  <c r="B2018" i="1"/>
  <c r="M2017" i="1"/>
  <c r="B2017" i="1"/>
  <c r="M2016" i="1"/>
  <c r="B2016" i="1"/>
  <c r="M2015" i="1"/>
  <c r="B2015" i="1"/>
  <c r="M2014" i="1"/>
  <c r="B2014" i="1"/>
  <c r="M2013" i="1"/>
  <c r="B2013" i="1"/>
  <c r="M2012" i="1"/>
  <c r="B2012" i="1"/>
  <c r="M2011" i="1"/>
  <c r="B2011" i="1"/>
  <c r="M2010" i="1"/>
  <c r="B2010" i="1"/>
  <c r="M2009" i="1"/>
  <c r="B2009" i="1"/>
  <c r="M2008" i="1"/>
  <c r="B2008" i="1"/>
  <c r="M2007" i="1"/>
  <c r="B2007" i="1"/>
  <c r="M2006" i="1"/>
  <c r="B2006" i="1"/>
  <c r="M2005" i="1"/>
  <c r="B2005" i="1"/>
  <c r="M2004" i="1"/>
  <c r="B2004" i="1"/>
  <c r="M2003" i="1"/>
  <c r="B2003" i="1"/>
  <c r="M2002" i="1"/>
  <c r="B2002" i="1"/>
  <c r="M2001" i="1"/>
  <c r="B2001" i="1"/>
  <c r="M2000" i="1"/>
  <c r="B2000" i="1"/>
  <c r="M1999" i="1"/>
  <c r="B1999" i="1"/>
  <c r="M1998" i="1"/>
  <c r="B1998" i="1"/>
  <c r="M1997" i="1"/>
  <c r="B1997" i="1"/>
  <c r="M1996" i="1"/>
  <c r="B1996" i="1"/>
  <c r="M1995" i="1"/>
  <c r="B1995" i="1"/>
  <c r="M1994" i="1"/>
  <c r="B1994" i="1"/>
  <c r="M1993" i="1"/>
  <c r="B1993" i="1"/>
  <c r="M1992" i="1"/>
  <c r="B1992" i="1"/>
  <c r="M1991" i="1"/>
  <c r="B1991" i="1"/>
  <c r="M1990" i="1"/>
  <c r="B1990" i="1"/>
  <c r="M1989" i="1"/>
  <c r="B1989" i="1"/>
  <c r="M1988" i="1"/>
  <c r="B1988" i="1"/>
  <c r="M1987" i="1"/>
  <c r="B1987" i="1"/>
  <c r="M1986" i="1"/>
  <c r="B1986" i="1"/>
  <c r="M1985" i="1"/>
  <c r="B1985" i="1"/>
  <c r="M1984" i="1"/>
  <c r="B1984" i="1"/>
  <c r="M1983" i="1"/>
  <c r="B1983" i="1"/>
  <c r="M1982" i="1"/>
  <c r="B1982" i="1"/>
  <c r="M1981" i="1"/>
  <c r="B1981" i="1"/>
  <c r="M1980" i="1"/>
  <c r="B1980" i="1"/>
  <c r="M1979" i="1"/>
  <c r="B1979" i="1"/>
  <c r="M1978" i="1"/>
  <c r="B1978" i="1"/>
  <c r="M1977" i="1"/>
  <c r="B1977" i="1"/>
  <c r="M1976" i="1"/>
  <c r="B1976" i="1"/>
  <c r="M1975" i="1"/>
  <c r="B1975" i="1"/>
  <c r="M1974" i="1"/>
  <c r="B1974" i="1"/>
  <c r="M1973" i="1"/>
  <c r="B1973" i="1"/>
  <c r="M1972" i="1"/>
  <c r="B1972" i="1"/>
  <c r="M1971" i="1"/>
  <c r="B1971" i="1"/>
  <c r="M1970" i="1"/>
  <c r="B1970" i="1"/>
  <c r="M1969" i="1"/>
  <c r="B1969" i="1"/>
  <c r="M1968" i="1"/>
  <c r="B1968" i="1"/>
  <c r="M1967" i="1"/>
  <c r="B1967" i="1"/>
  <c r="M1966" i="1"/>
  <c r="B1966" i="1"/>
  <c r="M1965" i="1"/>
  <c r="B1965" i="1"/>
  <c r="M1964" i="1"/>
  <c r="B1964" i="1"/>
  <c r="M1963" i="1"/>
  <c r="B1963" i="1"/>
  <c r="M1962" i="1"/>
  <c r="B1962" i="1"/>
  <c r="M1961" i="1"/>
  <c r="B1961" i="1"/>
  <c r="M1960" i="1"/>
  <c r="B1960" i="1"/>
  <c r="M1959" i="1"/>
  <c r="B1959" i="1"/>
  <c r="M1958" i="1"/>
  <c r="B1958" i="1"/>
  <c r="M1957" i="1"/>
  <c r="B1957" i="1"/>
  <c r="M1956" i="1"/>
  <c r="B1956" i="1"/>
  <c r="M1955" i="1"/>
  <c r="B1955" i="1"/>
  <c r="M1954" i="1"/>
  <c r="B1954" i="1"/>
  <c r="M1953" i="1"/>
  <c r="B1953" i="1"/>
  <c r="M1952" i="1"/>
  <c r="B1952" i="1"/>
  <c r="M1951" i="1"/>
  <c r="B1951" i="1"/>
  <c r="M1950" i="1"/>
  <c r="B1950" i="1"/>
  <c r="M1949" i="1"/>
  <c r="B1949" i="1"/>
  <c r="M1948" i="1"/>
  <c r="B1948" i="1"/>
  <c r="M1947" i="1"/>
  <c r="B1947" i="1"/>
  <c r="M1946" i="1"/>
  <c r="B1946" i="1"/>
  <c r="M1945" i="1"/>
  <c r="B1945" i="1"/>
  <c r="M1944" i="1"/>
  <c r="B1944" i="1"/>
  <c r="M1943" i="1"/>
  <c r="B1943" i="1"/>
  <c r="M1942" i="1"/>
  <c r="B1942" i="1"/>
  <c r="M1941" i="1"/>
  <c r="B1941" i="1"/>
  <c r="M1940" i="1"/>
  <c r="B1940" i="1"/>
  <c r="M1939" i="1"/>
  <c r="B1939" i="1"/>
  <c r="M1938" i="1"/>
  <c r="B1938" i="1"/>
  <c r="M1937" i="1"/>
  <c r="B1937" i="1"/>
  <c r="M1936" i="1"/>
  <c r="B1936" i="1"/>
  <c r="M1935" i="1"/>
  <c r="B1935" i="1"/>
  <c r="M1934" i="1"/>
  <c r="B1934" i="1"/>
  <c r="M1933" i="1"/>
  <c r="B1933" i="1"/>
  <c r="M1932" i="1"/>
  <c r="B1932" i="1"/>
  <c r="M1931" i="1"/>
  <c r="B1931" i="1"/>
  <c r="M1930" i="1"/>
  <c r="B1930" i="1"/>
  <c r="M1929" i="1"/>
  <c r="B1929" i="1"/>
  <c r="M1928" i="1"/>
  <c r="B1928" i="1"/>
  <c r="M1927" i="1"/>
  <c r="B1927" i="1"/>
  <c r="M1926" i="1"/>
  <c r="B1926" i="1"/>
  <c r="M1925" i="1"/>
  <c r="B1925" i="1"/>
  <c r="M1924" i="1"/>
  <c r="B1924" i="1"/>
  <c r="M1923" i="1"/>
  <c r="B1923" i="1"/>
  <c r="M1922" i="1"/>
  <c r="B1922" i="1"/>
  <c r="M1921" i="1"/>
  <c r="B1921" i="1"/>
  <c r="M1920" i="1"/>
  <c r="B1920" i="1"/>
  <c r="M1919" i="1"/>
  <c r="B1919" i="1"/>
  <c r="M1918" i="1"/>
  <c r="B1918" i="1"/>
  <c r="M1917" i="1"/>
  <c r="B1917" i="1"/>
  <c r="M1916" i="1"/>
  <c r="B1916" i="1"/>
  <c r="M1915" i="1"/>
  <c r="B1915" i="1"/>
  <c r="M1914" i="1"/>
  <c r="B1914" i="1"/>
  <c r="M1913" i="1"/>
  <c r="B1913" i="1"/>
  <c r="M1912" i="1"/>
  <c r="B1912" i="1"/>
  <c r="M1911" i="1"/>
  <c r="B1911" i="1"/>
  <c r="M1910" i="1"/>
  <c r="B1910" i="1"/>
  <c r="M1909" i="1"/>
  <c r="B1909" i="1"/>
  <c r="M1908" i="1"/>
  <c r="B1908" i="1"/>
  <c r="M1907" i="1"/>
  <c r="B1907" i="1"/>
  <c r="M1906" i="1"/>
  <c r="B1906" i="1"/>
  <c r="M1905" i="1"/>
  <c r="B1905" i="1"/>
  <c r="M1904" i="1"/>
  <c r="B1904" i="1"/>
  <c r="M1903" i="1"/>
  <c r="B1903" i="1"/>
  <c r="M1902" i="1"/>
  <c r="B1902" i="1"/>
  <c r="M1901" i="1"/>
  <c r="B1901" i="1"/>
  <c r="M1900" i="1"/>
  <c r="B1900" i="1"/>
  <c r="M1899" i="1"/>
  <c r="B1899" i="1"/>
  <c r="M1898" i="1"/>
  <c r="B1898" i="1"/>
  <c r="M1897" i="1"/>
  <c r="B1897" i="1"/>
  <c r="M1896" i="1"/>
  <c r="B1896" i="1"/>
  <c r="M1895" i="1"/>
  <c r="B1895" i="1"/>
  <c r="M1894" i="1"/>
  <c r="B1894" i="1"/>
  <c r="M1893" i="1"/>
  <c r="B1893" i="1"/>
  <c r="M1892" i="1"/>
  <c r="B1892" i="1"/>
  <c r="M1891" i="1"/>
  <c r="B1891" i="1"/>
  <c r="M1890" i="1"/>
  <c r="B1890" i="1"/>
  <c r="M1889" i="1"/>
  <c r="B1889" i="1"/>
  <c r="M1888" i="1"/>
  <c r="B1888" i="1"/>
  <c r="M1887" i="1"/>
  <c r="B1887" i="1"/>
  <c r="M1886" i="1"/>
  <c r="B1886" i="1"/>
  <c r="M1885" i="1"/>
  <c r="B1885" i="1"/>
  <c r="M1884" i="1"/>
  <c r="B1884" i="1"/>
  <c r="M1883" i="1"/>
  <c r="B1883" i="1"/>
  <c r="M1882" i="1"/>
  <c r="B1882" i="1"/>
  <c r="M1881" i="1"/>
  <c r="B1881" i="1"/>
  <c r="M1880" i="1"/>
  <c r="B1880" i="1"/>
  <c r="M1879" i="1"/>
  <c r="B1879" i="1"/>
  <c r="M1878" i="1"/>
  <c r="B1878" i="1"/>
  <c r="M1877" i="1"/>
  <c r="B1877" i="1"/>
  <c r="M1876" i="1"/>
  <c r="B1876" i="1"/>
  <c r="M1875" i="1"/>
  <c r="B1875" i="1"/>
  <c r="M1874" i="1"/>
  <c r="B1874" i="1"/>
  <c r="M1873" i="1"/>
  <c r="B1873" i="1"/>
  <c r="M1872" i="1"/>
  <c r="B1872" i="1"/>
  <c r="M1871" i="1"/>
  <c r="B1871" i="1"/>
  <c r="M1870" i="1"/>
  <c r="B1870" i="1"/>
  <c r="M1869" i="1"/>
  <c r="B1869" i="1"/>
  <c r="M1868" i="1"/>
  <c r="B1868" i="1"/>
  <c r="M1867" i="1"/>
  <c r="B1867" i="1"/>
  <c r="M1866" i="1"/>
  <c r="B1866" i="1"/>
  <c r="M1865" i="1"/>
  <c r="B1865" i="1"/>
  <c r="M1864" i="1"/>
  <c r="B1864" i="1"/>
  <c r="M1863" i="1"/>
  <c r="B1863" i="1"/>
  <c r="M1862" i="1"/>
  <c r="B1862" i="1"/>
  <c r="M1861" i="1"/>
  <c r="B1861" i="1"/>
  <c r="M1860" i="1"/>
  <c r="B1860" i="1"/>
  <c r="M1859" i="1"/>
  <c r="B1859" i="1"/>
  <c r="M1858" i="1"/>
  <c r="B1858" i="1"/>
  <c r="M1857" i="1"/>
  <c r="B1857" i="1"/>
  <c r="M1856" i="1"/>
  <c r="B1856" i="1"/>
  <c r="M1855" i="1"/>
  <c r="B1855" i="1"/>
  <c r="M1854" i="1"/>
  <c r="B1854" i="1"/>
  <c r="M1853" i="1"/>
  <c r="B1853" i="1"/>
  <c r="M1852" i="1"/>
  <c r="B1852" i="1"/>
  <c r="M1851" i="1"/>
  <c r="B1851" i="1"/>
  <c r="M1850" i="1"/>
  <c r="B1850" i="1"/>
  <c r="M1849" i="1"/>
  <c r="B1849" i="1"/>
  <c r="M1848" i="1"/>
  <c r="B1848" i="1"/>
  <c r="M1847" i="1"/>
  <c r="B1847" i="1"/>
  <c r="M1846" i="1"/>
  <c r="B1846" i="1"/>
  <c r="M1845" i="1"/>
  <c r="B1845" i="1"/>
  <c r="M1844" i="1"/>
  <c r="B1844" i="1"/>
  <c r="M1843" i="1"/>
  <c r="B1843" i="1"/>
  <c r="M1842" i="1"/>
  <c r="B1842" i="1"/>
  <c r="M1841" i="1"/>
  <c r="B1841" i="1"/>
  <c r="M1840" i="1"/>
  <c r="B1840" i="1"/>
  <c r="M1839" i="1"/>
  <c r="B1839" i="1"/>
  <c r="M1838" i="1"/>
  <c r="B1838" i="1"/>
  <c r="M1837" i="1"/>
  <c r="B1837" i="1"/>
  <c r="M1836" i="1"/>
  <c r="B1836" i="1"/>
  <c r="M1835" i="1"/>
  <c r="B1835" i="1"/>
  <c r="M1834" i="1"/>
  <c r="B1834" i="1"/>
  <c r="M1833" i="1"/>
  <c r="B1833" i="1"/>
  <c r="M1832" i="1"/>
  <c r="B1832" i="1"/>
  <c r="M1831" i="1"/>
  <c r="B1831" i="1"/>
  <c r="M1830" i="1"/>
  <c r="B1830" i="1"/>
  <c r="M1829" i="1"/>
  <c r="B1829" i="1"/>
  <c r="M1828" i="1"/>
  <c r="B1828" i="1"/>
  <c r="M1827" i="1"/>
  <c r="B1827" i="1"/>
  <c r="M1826" i="1"/>
  <c r="B1826" i="1"/>
  <c r="M1825" i="1"/>
  <c r="B1825" i="1"/>
  <c r="M1824" i="1"/>
  <c r="B1824" i="1"/>
  <c r="M1823" i="1"/>
  <c r="B1823" i="1"/>
  <c r="M1822" i="1"/>
  <c r="B1822" i="1"/>
  <c r="M1821" i="1"/>
  <c r="B1821" i="1"/>
  <c r="M1820" i="1"/>
  <c r="B1820" i="1"/>
  <c r="M1819" i="1"/>
  <c r="B1819" i="1"/>
  <c r="M1818" i="1"/>
  <c r="B1818" i="1"/>
  <c r="M1817" i="1"/>
  <c r="B1817" i="1"/>
  <c r="M1816" i="1"/>
  <c r="B1816" i="1"/>
  <c r="M1815" i="1"/>
  <c r="B1815" i="1"/>
  <c r="M1814" i="1"/>
  <c r="B1814" i="1"/>
  <c r="M1813" i="1"/>
  <c r="B1813" i="1"/>
  <c r="M1812" i="1"/>
  <c r="B1812" i="1"/>
  <c r="M1811" i="1"/>
  <c r="B1811" i="1"/>
  <c r="M1810" i="1"/>
  <c r="B1810" i="1"/>
  <c r="M1809" i="1"/>
  <c r="B1809" i="1"/>
  <c r="M1808" i="1"/>
  <c r="B1808" i="1"/>
  <c r="M1807" i="1"/>
  <c r="B1807" i="1"/>
  <c r="M1806" i="1"/>
  <c r="B1806" i="1"/>
  <c r="M1805" i="1"/>
  <c r="B1805" i="1"/>
  <c r="M1804" i="1"/>
  <c r="B1804" i="1"/>
  <c r="M1803" i="1"/>
  <c r="B1803" i="1"/>
  <c r="M1802" i="1"/>
  <c r="B1802" i="1"/>
  <c r="M1801" i="1"/>
  <c r="B1801" i="1"/>
  <c r="M1800" i="1"/>
  <c r="B1800" i="1"/>
  <c r="M1799" i="1"/>
  <c r="B1799" i="1"/>
  <c r="M1798" i="1"/>
  <c r="B1798" i="1"/>
  <c r="M1797" i="1"/>
  <c r="B1797" i="1"/>
  <c r="M1796" i="1"/>
  <c r="B1796" i="1"/>
  <c r="M1795" i="1"/>
  <c r="B1795" i="1"/>
  <c r="M1794" i="1"/>
  <c r="B1794" i="1"/>
  <c r="M1793" i="1"/>
  <c r="B1793" i="1"/>
  <c r="M1792" i="1"/>
  <c r="B1792" i="1"/>
  <c r="M1791" i="1"/>
  <c r="B1791" i="1"/>
  <c r="M1790" i="1"/>
  <c r="B1790" i="1"/>
  <c r="M1789" i="1"/>
  <c r="B1789" i="1"/>
  <c r="M1788" i="1"/>
  <c r="B1788" i="1"/>
  <c r="M1787" i="1"/>
  <c r="B1787" i="1"/>
  <c r="M1786" i="1"/>
  <c r="B1786" i="1"/>
  <c r="M1785" i="1"/>
  <c r="B1785" i="1"/>
  <c r="M1784" i="1"/>
  <c r="B1784" i="1"/>
  <c r="M1783" i="1"/>
  <c r="B1783" i="1"/>
  <c r="M1782" i="1"/>
  <c r="B1782" i="1"/>
  <c r="M1781" i="1"/>
  <c r="B1781" i="1"/>
  <c r="M1780" i="1"/>
  <c r="B1780" i="1"/>
  <c r="M1779" i="1"/>
  <c r="B1779" i="1"/>
  <c r="M1778" i="1"/>
  <c r="B1778" i="1"/>
  <c r="M1777" i="1"/>
  <c r="B1777" i="1"/>
  <c r="M1776" i="1"/>
  <c r="B1776" i="1"/>
  <c r="M1775" i="1"/>
  <c r="B1775" i="1"/>
  <c r="M1774" i="1"/>
  <c r="B1774" i="1"/>
  <c r="M1773" i="1"/>
  <c r="B1773" i="1"/>
  <c r="M1772" i="1"/>
  <c r="B1772" i="1"/>
  <c r="M1771" i="1"/>
  <c r="B1771" i="1"/>
  <c r="M1770" i="1"/>
  <c r="B1770" i="1"/>
  <c r="M1769" i="1"/>
  <c r="B1769" i="1"/>
  <c r="M1768" i="1"/>
  <c r="B1768" i="1"/>
  <c r="M1767" i="1"/>
  <c r="B1767" i="1"/>
  <c r="M1766" i="1"/>
  <c r="M1765" i="1"/>
  <c r="M1764" i="1"/>
  <c r="M1763" i="1"/>
  <c r="M1762" i="1"/>
  <c r="M1761" i="1"/>
  <c r="M1760" i="1"/>
  <c r="B1760" i="1"/>
  <c r="M1759" i="1"/>
  <c r="B1759" i="1"/>
  <c r="M1758" i="1"/>
  <c r="B1758" i="1"/>
  <c r="M1757" i="1"/>
  <c r="B1757" i="1"/>
  <c r="M1756" i="1"/>
  <c r="B1756" i="1"/>
  <c r="M1755" i="1"/>
  <c r="B1755" i="1"/>
  <c r="M1754" i="1"/>
  <c r="B1754" i="1"/>
  <c r="M1753" i="1"/>
  <c r="B1753" i="1"/>
  <c r="M1752" i="1"/>
  <c r="B1752" i="1"/>
  <c r="M1751" i="1"/>
  <c r="B1751" i="1"/>
  <c r="M1750" i="1"/>
  <c r="B1750" i="1"/>
  <c r="M1749" i="1"/>
  <c r="B1749" i="1"/>
  <c r="M1748" i="1"/>
  <c r="B1748" i="1"/>
  <c r="M1747" i="1"/>
  <c r="B1747" i="1"/>
  <c r="M1746" i="1"/>
  <c r="B1746" i="1"/>
  <c r="M1745" i="1"/>
  <c r="B1745" i="1"/>
  <c r="M1744" i="1"/>
  <c r="B1744" i="1"/>
  <c r="M1743" i="1"/>
  <c r="B1743" i="1"/>
  <c r="M1742" i="1"/>
  <c r="B1742" i="1"/>
  <c r="M1741" i="1"/>
  <c r="B1741" i="1"/>
  <c r="M1740" i="1"/>
  <c r="B1740" i="1"/>
  <c r="M1739" i="1"/>
  <c r="B1739" i="1"/>
  <c r="M1738" i="1"/>
  <c r="B1738" i="1"/>
  <c r="M1737" i="1"/>
  <c r="B1737" i="1"/>
  <c r="M1736" i="1"/>
  <c r="B1736" i="1"/>
  <c r="M1735" i="1"/>
  <c r="B1735" i="1"/>
  <c r="M1734" i="1"/>
  <c r="B1734" i="1"/>
  <c r="M1733" i="1"/>
  <c r="B1733" i="1"/>
  <c r="M1732" i="1"/>
  <c r="B1732" i="1"/>
  <c r="M1731" i="1"/>
  <c r="B1731" i="1"/>
  <c r="M1730" i="1"/>
  <c r="B1730" i="1"/>
  <c r="M1729" i="1"/>
  <c r="B1729" i="1"/>
  <c r="M1728" i="1"/>
  <c r="B1728" i="1"/>
  <c r="M1727" i="1"/>
  <c r="B1727" i="1"/>
  <c r="M1726" i="1"/>
  <c r="B1726" i="1"/>
  <c r="M1725" i="1"/>
  <c r="B1725" i="1"/>
  <c r="M1724" i="1"/>
  <c r="B1724" i="1"/>
  <c r="M1723" i="1"/>
  <c r="B1723" i="1"/>
  <c r="M1722" i="1"/>
  <c r="B1722" i="1"/>
  <c r="M1721" i="1"/>
  <c r="B1721" i="1"/>
  <c r="M1720" i="1"/>
  <c r="B1720" i="1"/>
  <c r="M1719" i="1"/>
  <c r="B1719" i="1"/>
  <c r="M1718" i="1"/>
  <c r="B1718" i="1"/>
  <c r="M1717" i="1"/>
  <c r="B1717" i="1"/>
  <c r="M1716" i="1"/>
  <c r="B1716" i="1"/>
  <c r="M1714" i="1"/>
  <c r="B1714" i="1"/>
  <c r="M1713" i="1"/>
  <c r="B1713" i="1"/>
  <c r="M1711" i="1"/>
  <c r="B1711" i="1"/>
  <c r="M1710" i="1"/>
  <c r="B1710" i="1"/>
  <c r="M1708" i="1"/>
  <c r="B1708" i="1"/>
  <c r="M1706" i="1"/>
  <c r="B1706" i="1"/>
  <c r="M1705" i="1"/>
  <c r="B1705" i="1"/>
  <c r="M1704" i="1"/>
  <c r="B1704" i="1"/>
  <c r="M1703" i="1"/>
  <c r="B1703" i="1"/>
  <c r="M1702" i="1"/>
  <c r="B1702" i="1"/>
  <c r="M1701" i="1"/>
  <c r="B1701" i="1"/>
  <c r="M1700" i="1"/>
  <c r="B1700" i="1"/>
  <c r="M1699" i="1"/>
  <c r="B1699" i="1"/>
  <c r="M1698" i="1"/>
  <c r="B1698" i="1"/>
  <c r="M1697" i="1"/>
  <c r="B1697" i="1"/>
  <c r="M1696" i="1"/>
  <c r="B1696" i="1"/>
  <c r="M1695" i="1"/>
  <c r="B1695" i="1"/>
  <c r="M1694" i="1"/>
  <c r="B1694" i="1"/>
  <c r="M1693" i="1"/>
  <c r="B1693" i="1"/>
  <c r="M1692" i="1"/>
  <c r="B1692" i="1"/>
  <c r="M1691" i="1"/>
  <c r="B1691" i="1"/>
  <c r="M1690" i="1"/>
  <c r="B1690" i="1"/>
  <c r="M1689" i="1"/>
  <c r="B1689" i="1"/>
  <c r="M1687" i="1"/>
  <c r="B1687" i="1"/>
  <c r="M1686" i="1"/>
  <c r="B1686" i="1"/>
  <c r="M1685" i="1"/>
  <c r="B1685" i="1"/>
  <c r="M1684" i="1"/>
  <c r="B1684" i="1"/>
  <c r="M1683" i="1"/>
  <c r="B1683" i="1"/>
  <c r="M1682" i="1"/>
  <c r="B1682" i="1"/>
  <c r="M1681" i="1"/>
  <c r="B1681" i="1"/>
  <c r="M1680" i="1"/>
  <c r="B1680" i="1"/>
  <c r="M1679" i="1"/>
  <c r="B1679" i="1"/>
  <c r="M1678" i="1"/>
  <c r="B1678" i="1"/>
  <c r="M1677" i="1"/>
  <c r="B1677" i="1"/>
  <c r="M1676" i="1"/>
  <c r="B1676" i="1"/>
  <c r="M1675" i="1"/>
  <c r="B1675" i="1"/>
  <c r="M1674" i="1"/>
  <c r="B1674" i="1"/>
  <c r="M1673" i="1"/>
  <c r="B1673" i="1"/>
  <c r="M1672" i="1"/>
  <c r="B1672" i="1"/>
  <c r="M1671" i="1"/>
  <c r="B1671" i="1"/>
  <c r="M1670" i="1"/>
  <c r="B1670" i="1"/>
  <c r="M1669" i="1"/>
  <c r="B1669" i="1"/>
  <c r="M1668" i="1"/>
  <c r="B1668" i="1"/>
  <c r="M1667" i="1"/>
  <c r="B1667" i="1"/>
  <c r="M1666" i="1"/>
  <c r="B1666" i="1"/>
  <c r="M1665" i="1"/>
  <c r="B1665" i="1"/>
  <c r="M1664" i="1"/>
  <c r="B1664" i="1"/>
  <c r="M1663" i="1"/>
  <c r="B1663" i="1"/>
  <c r="M1662" i="1"/>
  <c r="B1662" i="1"/>
  <c r="M1661" i="1"/>
  <c r="B1661" i="1"/>
  <c r="M1660" i="1"/>
  <c r="B1660" i="1"/>
  <c r="M1659" i="1"/>
  <c r="B1659" i="1"/>
  <c r="M1658" i="1"/>
  <c r="B1658" i="1"/>
  <c r="M1657" i="1"/>
  <c r="B1657" i="1"/>
  <c r="M1656" i="1"/>
  <c r="B1656" i="1"/>
  <c r="M1655" i="1"/>
  <c r="B1655" i="1"/>
  <c r="M1654" i="1"/>
  <c r="B1654" i="1"/>
  <c r="M1653" i="1"/>
  <c r="B1653" i="1"/>
  <c r="M1652" i="1"/>
  <c r="B1652" i="1"/>
  <c r="M1651" i="1"/>
  <c r="B1651" i="1"/>
  <c r="M1650" i="1"/>
  <c r="B1650" i="1"/>
  <c r="M1649" i="1"/>
  <c r="B1649" i="1"/>
  <c r="M1648" i="1"/>
  <c r="B1648" i="1"/>
  <c r="M1647" i="1"/>
  <c r="B1647" i="1"/>
  <c r="M1646" i="1"/>
  <c r="B1646" i="1"/>
  <c r="M1645" i="1"/>
  <c r="B1645" i="1"/>
  <c r="M1644" i="1"/>
  <c r="B1644" i="1"/>
  <c r="M1643" i="1"/>
  <c r="B1643" i="1"/>
  <c r="M1642" i="1"/>
  <c r="B1642" i="1"/>
  <c r="M1640" i="1"/>
  <c r="B1640" i="1"/>
  <c r="M1639" i="1"/>
  <c r="B1639" i="1"/>
  <c r="M1638" i="1"/>
  <c r="B1638" i="1"/>
  <c r="M1637" i="1"/>
  <c r="B1637" i="1"/>
  <c r="M1636" i="1"/>
  <c r="B1636" i="1"/>
  <c r="M1635" i="1"/>
  <c r="B1635" i="1"/>
  <c r="M1634" i="1"/>
  <c r="B1634" i="1"/>
  <c r="M1633" i="1"/>
  <c r="B1633" i="1"/>
  <c r="M1632" i="1"/>
  <c r="B1632" i="1"/>
  <c r="M1631" i="1"/>
  <c r="B1631" i="1"/>
  <c r="M1630" i="1"/>
  <c r="B1630" i="1"/>
  <c r="M1629" i="1"/>
  <c r="B1629" i="1"/>
  <c r="M1628" i="1"/>
  <c r="B1628" i="1"/>
  <c r="M1627" i="1"/>
  <c r="B1627" i="1"/>
  <c r="M1626" i="1"/>
  <c r="B1626" i="1"/>
  <c r="M1625" i="1"/>
  <c r="B1625" i="1"/>
  <c r="M1624" i="1"/>
  <c r="B1624" i="1"/>
  <c r="M1623" i="1"/>
  <c r="B1623" i="1"/>
  <c r="M1622" i="1"/>
  <c r="B1622" i="1"/>
  <c r="M1621" i="1"/>
  <c r="B1621" i="1"/>
  <c r="M1620" i="1"/>
  <c r="B1620" i="1"/>
  <c r="M1619" i="1"/>
  <c r="B1619" i="1"/>
  <c r="M1618" i="1"/>
  <c r="B1618" i="1"/>
  <c r="M1617" i="1"/>
  <c r="B1617" i="1"/>
  <c r="M1616" i="1"/>
  <c r="B1616" i="1"/>
  <c r="M1615" i="1"/>
  <c r="B1615" i="1"/>
  <c r="M1614" i="1"/>
  <c r="B1614" i="1"/>
  <c r="M1613" i="1"/>
  <c r="B1613" i="1"/>
  <c r="M1612" i="1"/>
  <c r="B1612" i="1"/>
  <c r="M1611" i="1"/>
  <c r="B1611" i="1"/>
  <c r="M1610" i="1"/>
  <c r="B1610" i="1"/>
  <c r="M1609" i="1"/>
  <c r="B1609" i="1"/>
  <c r="M1608" i="1"/>
  <c r="B1608" i="1"/>
  <c r="M1607" i="1"/>
  <c r="B1607" i="1"/>
  <c r="M1606" i="1"/>
  <c r="B1606" i="1"/>
  <c r="M1605" i="1"/>
  <c r="B1605" i="1"/>
  <c r="M1604" i="1"/>
  <c r="B1604" i="1"/>
  <c r="M1603" i="1"/>
  <c r="B1603" i="1"/>
  <c r="M1602" i="1"/>
  <c r="B1602" i="1"/>
  <c r="M1601" i="1"/>
  <c r="B1601" i="1"/>
  <c r="M1600" i="1"/>
  <c r="B1600" i="1"/>
  <c r="M1599" i="1"/>
  <c r="B1599" i="1"/>
  <c r="M1598" i="1"/>
  <c r="B1598" i="1"/>
  <c r="M1597" i="1"/>
  <c r="B1597" i="1"/>
  <c r="M1596" i="1"/>
  <c r="B1596" i="1"/>
  <c r="M1595" i="1"/>
  <c r="B1595" i="1"/>
  <c r="M1594" i="1"/>
  <c r="B1594" i="1"/>
  <c r="M1593" i="1"/>
  <c r="B1593" i="1"/>
  <c r="M1592" i="1"/>
  <c r="B1592" i="1"/>
  <c r="M1591" i="1"/>
  <c r="B1591" i="1"/>
  <c r="M1590" i="1"/>
  <c r="B1590" i="1"/>
  <c r="M1589" i="1"/>
  <c r="B1589" i="1"/>
  <c r="M1588" i="1"/>
  <c r="B1588" i="1"/>
  <c r="M1587" i="1"/>
  <c r="B1587" i="1"/>
  <c r="M1586" i="1"/>
  <c r="B1586" i="1"/>
  <c r="M1585" i="1"/>
  <c r="B1585" i="1"/>
  <c r="M1584" i="1"/>
  <c r="B1584" i="1"/>
  <c r="M1582" i="1"/>
  <c r="B1582" i="1"/>
  <c r="M1581" i="1"/>
  <c r="B1581" i="1"/>
  <c r="M1580" i="1"/>
  <c r="B1580" i="1"/>
  <c r="M1579" i="1"/>
  <c r="B1579" i="1"/>
  <c r="M1578" i="1"/>
  <c r="B1578" i="1"/>
  <c r="M1577" i="1"/>
  <c r="B1577" i="1"/>
  <c r="M1576" i="1"/>
  <c r="B1576" i="1"/>
  <c r="M1574" i="1"/>
  <c r="B1574" i="1"/>
  <c r="M1573" i="1"/>
  <c r="B1573" i="1"/>
  <c r="M1572" i="1"/>
  <c r="B1572" i="1"/>
  <c r="M1571" i="1"/>
  <c r="B1571" i="1"/>
  <c r="M1570" i="1"/>
  <c r="B1570" i="1"/>
  <c r="M1569" i="1"/>
  <c r="B1569" i="1"/>
  <c r="M1568" i="1"/>
  <c r="B1568" i="1"/>
  <c r="M1567" i="1"/>
  <c r="B1567" i="1"/>
  <c r="M1566" i="1"/>
  <c r="B1566" i="1"/>
  <c r="M1565" i="1"/>
  <c r="B1565" i="1"/>
  <c r="M1564" i="1"/>
  <c r="B1564" i="1"/>
  <c r="M1563" i="1"/>
  <c r="B1563" i="1"/>
  <c r="M1562" i="1"/>
  <c r="B1562" i="1"/>
  <c r="M1561" i="1"/>
  <c r="B1561" i="1"/>
  <c r="M1560" i="1"/>
  <c r="B1560" i="1"/>
  <c r="M1559" i="1"/>
  <c r="B1559" i="1"/>
  <c r="M1558" i="1"/>
  <c r="B1558" i="1"/>
  <c r="M1557" i="1"/>
  <c r="B1557" i="1"/>
  <c r="M1555" i="1"/>
  <c r="B1555" i="1"/>
  <c r="M1554" i="1"/>
  <c r="B1554" i="1"/>
  <c r="M1553" i="1"/>
  <c r="B1553" i="1"/>
  <c r="M1552" i="1"/>
  <c r="B1552" i="1"/>
  <c r="M1551" i="1"/>
  <c r="B1551" i="1"/>
  <c r="M1550" i="1"/>
  <c r="B1550" i="1"/>
  <c r="M1549" i="1"/>
  <c r="B1549" i="1"/>
  <c r="M1548" i="1"/>
  <c r="B1548" i="1"/>
  <c r="M1547" i="1"/>
  <c r="B1547" i="1"/>
  <c r="M1546" i="1"/>
  <c r="B1546" i="1"/>
  <c r="M1545" i="1"/>
  <c r="B1545" i="1"/>
  <c r="M1544" i="1"/>
  <c r="B1544" i="1"/>
  <c r="M1543" i="1"/>
  <c r="B1543" i="1"/>
  <c r="M1542" i="1"/>
  <c r="B1542" i="1"/>
  <c r="M1541" i="1"/>
  <c r="B1541" i="1"/>
  <c r="M1540" i="1"/>
  <c r="B1540" i="1"/>
  <c r="M1539" i="1"/>
  <c r="B1539" i="1"/>
  <c r="M1538" i="1"/>
  <c r="B1538" i="1"/>
  <c r="M1537" i="1"/>
  <c r="B1537" i="1"/>
  <c r="M1536" i="1"/>
  <c r="B1536" i="1"/>
  <c r="M1535" i="1"/>
  <c r="B1535" i="1"/>
  <c r="M1534" i="1"/>
  <c r="B1534" i="1"/>
  <c r="M1533" i="1"/>
  <c r="B1533" i="1"/>
  <c r="M1532" i="1"/>
  <c r="B1532" i="1"/>
  <c r="M1531" i="1"/>
  <c r="B1531" i="1"/>
  <c r="M1530" i="1"/>
  <c r="B1530" i="1"/>
  <c r="M1529" i="1"/>
  <c r="B1529" i="1"/>
  <c r="M1528" i="1"/>
  <c r="B1528" i="1"/>
  <c r="M1526" i="1"/>
  <c r="B1526" i="1"/>
  <c r="M1525" i="1"/>
  <c r="B1525" i="1"/>
  <c r="M1524" i="1"/>
  <c r="B1524" i="1"/>
  <c r="M1523" i="1"/>
  <c r="B1523" i="1"/>
  <c r="M1522" i="1"/>
  <c r="B1522" i="1"/>
  <c r="M1521" i="1"/>
  <c r="B1521" i="1"/>
  <c r="M1520" i="1"/>
  <c r="B1520" i="1"/>
  <c r="M1519" i="1"/>
  <c r="B1519" i="1"/>
  <c r="M1518" i="1"/>
  <c r="B1518" i="1"/>
  <c r="M1517" i="1"/>
  <c r="B1517" i="1"/>
  <c r="M1516" i="1"/>
  <c r="B1516" i="1"/>
  <c r="M1515" i="1"/>
  <c r="B1515" i="1"/>
  <c r="M1514" i="1"/>
  <c r="B1514" i="1"/>
  <c r="M1513" i="1"/>
  <c r="B1513" i="1"/>
  <c r="M1512" i="1"/>
  <c r="B1512" i="1"/>
  <c r="M1511" i="1"/>
  <c r="B1511" i="1"/>
  <c r="M1510" i="1"/>
  <c r="B1510" i="1"/>
  <c r="M1509" i="1"/>
  <c r="B1509" i="1"/>
  <c r="M1508" i="1"/>
  <c r="B1508" i="1"/>
  <c r="M1507" i="1"/>
  <c r="B1507" i="1"/>
  <c r="M1506" i="1"/>
  <c r="B1506" i="1"/>
  <c r="M1505" i="1"/>
  <c r="B1505" i="1"/>
  <c r="M1504" i="1"/>
  <c r="B1504" i="1"/>
  <c r="M1503" i="1"/>
  <c r="B1503" i="1"/>
  <c r="M1502" i="1"/>
  <c r="B1502" i="1"/>
  <c r="M1501" i="1"/>
  <c r="B1501" i="1"/>
  <c r="M1500" i="1"/>
  <c r="B1500" i="1"/>
  <c r="M1499" i="1"/>
  <c r="B1499" i="1"/>
  <c r="M1498" i="1"/>
  <c r="B1498" i="1"/>
  <c r="M1497" i="1"/>
  <c r="B1497" i="1"/>
  <c r="M1496" i="1"/>
  <c r="B1496" i="1"/>
  <c r="M1495" i="1"/>
  <c r="B1495" i="1"/>
  <c r="M1494" i="1"/>
  <c r="B1494" i="1"/>
  <c r="M1493" i="1"/>
  <c r="B1493" i="1"/>
  <c r="M1492" i="1"/>
  <c r="B1492" i="1"/>
  <c r="M1491" i="1"/>
  <c r="B1491" i="1"/>
  <c r="M1490" i="1"/>
  <c r="B1490" i="1"/>
  <c r="M1489" i="1"/>
  <c r="B1489" i="1"/>
  <c r="M1488" i="1"/>
  <c r="B1488" i="1"/>
  <c r="M1487" i="1"/>
  <c r="B1487" i="1"/>
  <c r="M1486" i="1"/>
  <c r="B1486" i="1"/>
  <c r="M1485" i="1"/>
  <c r="B1485" i="1"/>
  <c r="M1484" i="1"/>
  <c r="B1484" i="1"/>
  <c r="M1483" i="1"/>
  <c r="B1483" i="1"/>
  <c r="M1482" i="1"/>
  <c r="B1482" i="1"/>
  <c r="M1481" i="1"/>
  <c r="B1481" i="1"/>
  <c r="M1480" i="1"/>
  <c r="B1480" i="1"/>
  <c r="M1479" i="1"/>
  <c r="B1479" i="1"/>
  <c r="M1478" i="1"/>
  <c r="B1478" i="1"/>
  <c r="M1477" i="1"/>
  <c r="B1477" i="1"/>
  <c r="M1476" i="1"/>
  <c r="B1476" i="1"/>
  <c r="M1475" i="1"/>
  <c r="B1475" i="1"/>
  <c r="M1474" i="1"/>
  <c r="B1474" i="1"/>
  <c r="M1473" i="1"/>
  <c r="B1473" i="1"/>
  <c r="M1472" i="1"/>
  <c r="B1472" i="1"/>
  <c r="M1471" i="1"/>
  <c r="B1471" i="1"/>
  <c r="M1470" i="1"/>
  <c r="B1470" i="1"/>
  <c r="M1469" i="1"/>
  <c r="B1469" i="1"/>
  <c r="M1468" i="1"/>
  <c r="B1468" i="1"/>
  <c r="M1467" i="1"/>
  <c r="B1467" i="1"/>
  <c r="M1466" i="1"/>
  <c r="B1466" i="1"/>
  <c r="M1465" i="1"/>
  <c r="B1465" i="1"/>
  <c r="M1464" i="1"/>
  <c r="B1464" i="1"/>
  <c r="M1463" i="1"/>
  <c r="B1463" i="1"/>
  <c r="M1462" i="1"/>
  <c r="B1462" i="1"/>
  <c r="M1461" i="1"/>
  <c r="B1461" i="1"/>
  <c r="M1460" i="1"/>
  <c r="B1460" i="1"/>
  <c r="M1459" i="1"/>
  <c r="B1459" i="1"/>
  <c r="M1458" i="1"/>
  <c r="B1458" i="1"/>
  <c r="M1457" i="1"/>
  <c r="B1457" i="1"/>
  <c r="M1456" i="1"/>
  <c r="B1456" i="1"/>
  <c r="M1455" i="1"/>
  <c r="B1455" i="1"/>
  <c r="M1453" i="1"/>
  <c r="B1453" i="1"/>
  <c r="M1452" i="1"/>
  <c r="B1452" i="1"/>
  <c r="M1451" i="1"/>
  <c r="B1451" i="1"/>
  <c r="M1450" i="1"/>
  <c r="B1450" i="1"/>
  <c r="M1449" i="1"/>
  <c r="B1449" i="1"/>
  <c r="M1448" i="1"/>
  <c r="M1447" i="1"/>
  <c r="B1447" i="1"/>
  <c r="M1446" i="1"/>
  <c r="B1446" i="1"/>
  <c r="M1445" i="1"/>
  <c r="B1445" i="1"/>
  <c r="M1444" i="1"/>
  <c r="B1444" i="1"/>
  <c r="M1443" i="1"/>
  <c r="B1443" i="1"/>
  <c r="M1442" i="1"/>
  <c r="B1442" i="1"/>
  <c r="M1441" i="1"/>
  <c r="B1441" i="1"/>
  <c r="M1440" i="1"/>
  <c r="B1440" i="1"/>
  <c r="M1439" i="1"/>
  <c r="B1439" i="1"/>
  <c r="M1438" i="1"/>
  <c r="B1438" i="1"/>
  <c r="M1437" i="1"/>
  <c r="B1437" i="1"/>
  <c r="M1436" i="1"/>
  <c r="B1436" i="1"/>
  <c r="M1435" i="1"/>
  <c r="B1435" i="1"/>
  <c r="M1434" i="1"/>
  <c r="B1434" i="1"/>
  <c r="M1433" i="1"/>
  <c r="B1433" i="1"/>
  <c r="M1432" i="1"/>
  <c r="B1432" i="1"/>
  <c r="M1431" i="1"/>
  <c r="B1431" i="1"/>
  <c r="M1430" i="1"/>
  <c r="B1430" i="1"/>
  <c r="M1429" i="1"/>
  <c r="B1429" i="1"/>
  <c r="M1428" i="1"/>
  <c r="B1428" i="1"/>
  <c r="M1427" i="1"/>
  <c r="B1427" i="1"/>
  <c r="M1426" i="1"/>
  <c r="B1426" i="1"/>
  <c r="M1425" i="1"/>
  <c r="B1425" i="1"/>
  <c r="M1424" i="1"/>
  <c r="B1424" i="1"/>
  <c r="M1423" i="1"/>
  <c r="B1423" i="1"/>
  <c r="M1422" i="1"/>
  <c r="B1422" i="1"/>
  <c r="M1421" i="1"/>
  <c r="B1421" i="1"/>
  <c r="M1420" i="1"/>
  <c r="B1420" i="1"/>
  <c r="M1419" i="1"/>
  <c r="B1419" i="1"/>
  <c r="M1418" i="1"/>
  <c r="B1418" i="1"/>
  <c r="M1417" i="1"/>
  <c r="B1417" i="1"/>
  <c r="M1416" i="1"/>
  <c r="B1416" i="1"/>
  <c r="M1415" i="1"/>
  <c r="B1415" i="1"/>
  <c r="M1414" i="1"/>
  <c r="B1414" i="1"/>
  <c r="M1413" i="1"/>
  <c r="B1413" i="1"/>
  <c r="M1412" i="1"/>
  <c r="B1412" i="1"/>
  <c r="M1411" i="1"/>
  <c r="B1411" i="1"/>
  <c r="M1410" i="1"/>
  <c r="B1410" i="1"/>
  <c r="M1409" i="1"/>
  <c r="B1409" i="1"/>
  <c r="M1408" i="1"/>
  <c r="B1408" i="1"/>
  <c r="M1407" i="1"/>
  <c r="B1407" i="1"/>
  <c r="M1406" i="1"/>
  <c r="B1406" i="1"/>
  <c r="M1405" i="1"/>
  <c r="B1405" i="1"/>
  <c r="M1404" i="1"/>
  <c r="B1404" i="1"/>
  <c r="M1403" i="1"/>
  <c r="B1403" i="1"/>
  <c r="M1402" i="1"/>
  <c r="B1402" i="1"/>
  <c r="M1401" i="1"/>
  <c r="B1401" i="1"/>
  <c r="M1400" i="1"/>
  <c r="B1400" i="1"/>
  <c r="M1399" i="1"/>
  <c r="B1399" i="1"/>
  <c r="M1398" i="1"/>
  <c r="B1398" i="1"/>
  <c r="M1397" i="1"/>
  <c r="B1397" i="1"/>
  <c r="M1396" i="1"/>
  <c r="B1396" i="1"/>
  <c r="M1395" i="1"/>
  <c r="B1395" i="1"/>
  <c r="M1394" i="1"/>
  <c r="B1394" i="1"/>
  <c r="M1393" i="1"/>
  <c r="B1393" i="1"/>
  <c r="M1392" i="1"/>
  <c r="B1392" i="1"/>
  <c r="M1391" i="1"/>
  <c r="B1391" i="1"/>
  <c r="M1390" i="1"/>
  <c r="B1390" i="1"/>
  <c r="M1389" i="1"/>
  <c r="B1389" i="1"/>
  <c r="M1388" i="1"/>
  <c r="B1388" i="1"/>
  <c r="M1387" i="1"/>
  <c r="B1387" i="1"/>
  <c r="M1385" i="1"/>
  <c r="B1385" i="1"/>
  <c r="M1384" i="1"/>
  <c r="B1384" i="1"/>
  <c r="M1382" i="1"/>
  <c r="B1382" i="1"/>
  <c r="M1381" i="1"/>
  <c r="B1381" i="1"/>
  <c r="M1380" i="1"/>
  <c r="B1380" i="1"/>
  <c r="M1379" i="1"/>
  <c r="B1379" i="1"/>
  <c r="M1378" i="1"/>
  <c r="B1378" i="1"/>
  <c r="M1377" i="1"/>
  <c r="B1377" i="1"/>
  <c r="M1376" i="1"/>
  <c r="B1376" i="1"/>
  <c r="M1375" i="1"/>
  <c r="B1375" i="1"/>
  <c r="M1374" i="1"/>
  <c r="B1374" i="1"/>
  <c r="M1373" i="1"/>
  <c r="B1373" i="1"/>
  <c r="M1372" i="1"/>
  <c r="B1372" i="1"/>
  <c r="M1371" i="1"/>
  <c r="B1371" i="1"/>
  <c r="M1370" i="1"/>
  <c r="B1370" i="1"/>
  <c r="M1369" i="1"/>
  <c r="B1369" i="1"/>
  <c r="M1368" i="1"/>
  <c r="B1368" i="1"/>
  <c r="M1367" i="1"/>
  <c r="B1367" i="1"/>
  <c r="M1366" i="1"/>
  <c r="B1366" i="1"/>
  <c r="M1365" i="1"/>
  <c r="B1365" i="1"/>
  <c r="M1364" i="1"/>
  <c r="B1364" i="1"/>
  <c r="M1363" i="1"/>
  <c r="B1363" i="1"/>
  <c r="M1362" i="1"/>
  <c r="B1362" i="1"/>
  <c r="M1361" i="1"/>
  <c r="B1361" i="1"/>
  <c r="M1360" i="1"/>
  <c r="B1360" i="1"/>
  <c r="M1359" i="1"/>
  <c r="B1359" i="1"/>
  <c r="M1357" i="1"/>
  <c r="B1357" i="1"/>
  <c r="M1356" i="1"/>
  <c r="B1356" i="1"/>
  <c r="M1355" i="1"/>
  <c r="B1355" i="1"/>
  <c r="M1354" i="1"/>
  <c r="B1354" i="1"/>
  <c r="M1353" i="1"/>
  <c r="B1353" i="1"/>
  <c r="M1352" i="1"/>
  <c r="B1352" i="1"/>
  <c r="M1351" i="1"/>
  <c r="B1351" i="1"/>
  <c r="M1350" i="1"/>
  <c r="B1350" i="1"/>
  <c r="M1349" i="1"/>
  <c r="B1349" i="1"/>
  <c r="M1348" i="1"/>
  <c r="B1348" i="1"/>
  <c r="M1347" i="1"/>
  <c r="B1347" i="1"/>
  <c r="M1346" i="1"/>
  <c r="B1346" i="1"/>
  <c r="M1345" i="1"/>
  <c r="B1345" i="1"/>
  <c r="M1344" i="1"/>
  <c r="B1344" i="1"/>
  <c r="M1343" i="1"/>
  <c r="B1343" i="1"/>
  <c r="M1342" i="1"/>
  <c r="B1342" i="1"/>
  <c r="M1341" i="1"/>
  <c r="B1341" i="1"/>
  <c r="M1340" i="1"/>
  <c r="B1340" i="1"/>
  <c r="M1339" i="1"/>
  <c r="B1339" i="1"/>
  <c r="M1338" i="1"/>
  <c r="B1338" i="1"/>
  <c r="M1337" i="1"/>
  <c r="B1337" i="1"/>
  <c r="M1336" i="1"/>
  <c r="B1336" i="1"/>
  <c r="M1335" i="1"/>
  <c r="B1335" i="1"/>
  <c r="M1334" i="1"/>
  <c r="B1334" i="1"/>
  <c r="M1333" i="1"/>
  <c r="B1333" i="1"/>
  <c r="M1332" i="1"/>
  <c r="B1332" i="1"/>
  <c r="M1331" i="1"/>
  <c r="B1331" i="1"/>
  <c r="M1330" i="1"/>
  <c r="B1330" i="1"/>
  <c r="M1329" i="1"/>
  <c r="B1329" i="1"/>
  <c r="M1328" i="1"/>
  <c r="B1328" i="1"/>
  <c r="M1327" i="1"/>
  <c r="B1327" i="1"/>
  <c r="M1326" i="1"/>
  <c r="B1326" i="1"/>
  <c r="M1325" i="1"/>
  <c r="B1325" i="1"/>
  <c r="M1324" i="1"/>
  <c r="B1324" i="1"/>
  <c r="M1323" i="1"/>
  <c r="B1323" i="1"/>
  <c r="M1322" i="1"/>
  <c r="B1322" i="1"/>
  <c r="M1321" i="1"/>
  <c r="B1321" i="1"/>
  <c r="M1320" i="1"/>
  <c r="B1320" i="1"/>
  <c r="M1319" i="1"/>
  <c r="B1319" i="1"/>
  <c r="M1318" i="1"/>
  <c r="B1318" i="1"/>
  <c r="M1317" i="1"/>
  <c r="B1317" i="1"/>
  <c r="M1316" i="1"/>
  <c r="B1316" i="1"/>
  <c r="M1315" i="1"/>
  <c r="B1315" i="1"/>
  <c r="M1314" i="1"/>
  <c r="B1314" i="1"/>
  <c r="M1313" i="1"/>
  <c r="B1313" i="1"/>
  <c r="M1312" i="1"/>
  <c r="B1312" i="1"/>
  <c r="M1311" i="1"/>
  <c r="B1311" i="1"/>
  <c r="M1310" i="1"/>
  <c r="B1310" i="1"/>
  <c r="M1309" i="1"/>
  <c r="B1309" i="1"/>
  <c r="M1308" i="1"/>
  <c r="B1308" i="1"/>
  <c r="M1307" i="1"/>
  <c r="B1307" i="1"/>
  <c r="M1306" i="1"/>
  <c r="B1306" i="1"/>
  <c r="M1305" i="1"/>
  <c r="B1305" i="1"/>
  <c r="M1304" i="1"/>
  <c r="B1304" i="1"/>
  <c r="M1303" i="1"/>
  <c r="B1303" i="1"/>
  <c r="M1302" i="1"/>
  <c r="B1302" i="1"/>
  <c r="M1301" i="1"/>
  <c r="B1301" i="1"/>
  <c r="M1300" i="1"/>
  <c r="B1300" i="1"/>
  <c r="M1299" i="1"/>
  <c r="B1299" i="1"/>
  <c r="M1298" i="1"/>
  <c r="B1298" i="1"/>
  <c r="M1297" i="1"/>
  <c r="B1297" i="1"/>
  <c r="M1296" i="1"/>
  <c r="B1296" i="1"/>
  <c r="M1295" i="1"/>
  <c r="B1295" i="1"/>
  <c r="M1294" i="1"/>
  <c r="B1294" i="1"/>
  <c r="M1293" i="1"/>
  <c r="B1293" i="1"/>
  <c r="M1292" i="1"/>
  <c r="B1292" i="1"/>
  <c r="M1291" i="1"/>
  <c r="B1291" i="1"/>
  <c r="M1290" i="1"/>
  <c r="B1290" i="1"/>
  <c r="M1289" i="1"/>
  <c r="B1289" i="1"/>
  <c r="M1288" i="1"/>
  <c r="B1288" i="1"/>
  <c r="M1287" i="1"/>
  <c r="B1287" i="1"/>
  <c r="M1286" i="1"/>
  <c r="B1286" i="1"/>
  <c r="M1285" i="1"/>
  <c r="B1285" i="1"/>
  <c r="M1284" i="1"/>
  <c r="B1284" i="1"/>
  <c r="M1283" i="1"/>
  <c r="B1283" i="1"/>
  <c r="M1282" i="1"/>
  <c r="B1282" i="1"/>
  <c r="M1281" i="1"/>
  <c r="B1281" i="1"/>
  <c r="M1280" i="1"/>
  <c r="B1280" i="1"/>
  <c r="M1279" i="1"/>
  <c r="B1279" i="1"/>
  <c r="M1278" i="1"/>
  <c r="B1278" i="1"/>
  <c r="M1277" i="1"/>
  <c r="B1277" i="1"/>
  <c r="M1276" i="1"/>
  <c r="B1276" i="1"/>
  <c r="M1275" i="1"/>
  <c r="B1275" i="1"/>
  <c r="M1274" i="1"/>
  <c r="B1274" i="1"/>
  <c r="M1273" i="1"/>
  <c r="B1273" i="1"/>
  <c r="M1272" i="1"/>
  <c r="B1272" i="1"/>
  <c r="M1271" i="1"/>
  <c r="B1271" i="1"/>
  <c r="M1270" i="1"/>
  <c r="B1270" i="1"/>
  <c r="M1269" i="1"/>
  <c r="B1269" i="1"/>
  <c r="M1268" i="1"/>
  <c r="B1268" i="1"/>
  <c r="M1267" i="1"/>
  <c r="B1267" i="1"/>
  <c r="M1266" i="1"/>
  <c r="B1266" i="1"/>
  <c r="M1265" i="1"/>
  <c r="B1265" i="1"/>
  <c r="M1264" i="1"/>
  <c r="B1264" i="1"/>
  <c r="M1263" i="1"/>
  <c r="B1263" i="1"/>
  <c r="M1262" i="1"/>
  <c r="B1262" i="1"/>
  <c r="M1261" i="1"/>
  <c r="B1261" i="1"/>
  <c r="M1260" i="1"/>
  <c r="B1260" i="1"/>
  <c r="M1259" i="1"/>
  <c r="B1259" i="1"/>
  <c r="M1258" i="1"/>
  <c r="B1258" i="1"/>
  <c r="M1257" i="1"/>
  <c r="B1257" i="1"/>
  <c r="M1256" i="1"/>
  <c r="B1256" i="1"/>
  <c r="M1255" i="1"/>
  <c r="B1255" i="1"/>
  <c r="M1254" i="1"/>
  <c r="B1254" i="1"/>
  <c r="M1253" i="1"/>
  <c r="B1253" i="1"/>
  <c r="M1252" i="1"/>
  <c r="B1252" i="1"/>
  <c r="M1251" i="1"/>
  <c r="B1251" i="1"/>
  <c r="M1250" i="1"/>
  <c r="B1250" i="1"/>
  <c r="M1249" i="1"/>
  <c r="B1249" i="1"/>
  <c r="M1248" i="1"/>
  <c r="B1248" i="1"/>
  <c r="M1247" i="1"/>
  <c r="B1247" i="1"/>
  <c r="M1246" i="1"/>
  <c r="B1246" i="1"/>
  <c r="M1245" i="1"/>
  <c r="B1245" i="1"/>
  <c r="M1244" i="1"/>
  <c r="B1244" i="1"/>
  <c r="M1243" i="1"/>
  <c r="B1243" i="1"/>
  <c r="M1242" i="1"/>
  <c r="B1242" i="1"/>
  <c r="M1241" i="1"/>
  <c r="B1241" i="1"/>
  <c r="M1240" i="1"/>
  <c r="B1240" i="1"/>
  <c r="M1239" i="1"/>
  <c r="B1239" i="1"/>
  <c r="M1238" i="1"/>
  <c r="B1238" i="1"/>
  <c r="M1237" i="1"/>
  <c r="B1237" i="1"/>
  <c r="M1236" i="1"/>
  <c r="B1236" i="1"/>
  <c r="M1235" i="1"/>
  <c r="B1235" i="1"/>
  <c r="M1234" i="1"/>
  <c r="B1234" i="1"/>
  <c r="M1233" i="1"/>
  <c r="B1233" i="1"/>
  <c r="M1232" i="1"/>
  <c r="B1232" i="1"/>
  <c r="M1231" i="1"/>
  <c r="B1231" i="1"/>
  <c r="M1230" i="1"/>
  <c r="B1230" i="1"/>
  <c r="M1229" i="1"/>
  <c r="B1229" i="1"/>
  <c r="M1228" i="1"/>
  <c r="B1228" i="1"/>
  <c r="M1227" i="1"/>
  <c r="B1227" i="1"/>
  <c r="M1226" i="1"/>
  <c r="B1226" i="1"/>
  <c r="M1225" i="1"/>
  <c r="B1225" i="1"/>
  <c r="M1224" i="1"/>
  <c r="B1224" i="1"/>
  <c r="M1223" i="1"/>
  <c r="B1223" i="1"/>
  <c r="M1222" i="1"/>
  <c r="B1222" i="1"/>
  <c r="M1221" i="1"/>
  <c r="B1221" i="1"/>
  <c r="M1220" i="1"/>
  <c r="B1220" i="1"/>
  <c r="M1219" i="1"/>
  <c r="B1219" i="1"/>
  <c r="M1218" i="1"/>
  <c r="B1218" i="1"/>
  <c r="M1217" i="1"/>
  <c r="B1217" i="1"/>
  <c r="M1216" i="1"/>
  <c r="B1216" i="1"/>
  <c r="M1215" i="1"/>
  <c r="B1215" i="1"/>
  <c r="M1214" i="1"/>
  <c r="B1214" i="1"/>
  <c r="M1213" i="1"/>
  <c r="B1213" i="1"/>
  <c r="M1212" i="1"/>
  <c r="B1212" i="1"/>
  <c r="M1211" i="1"/>
  <c r="B1211" i="1"/>
  <c r="M1210" i="1"/>
  <c r="B1210" i="1"/>
  <c r="M1209" i="1"/>
  <c r="B1209" i="1"/>
  <c r="M1208" i="1"/>
  <c r="B1208" i="1"/>
  <c r="M1207" i="1"/>
  <c r="B1207" i="1"/>
  <c r="M1206" i="1"/>
  <c r="B1206" i="1"/>
  <c r="M1205" i="1"/>
  <c r="B1205" i="1"/>
  <c r="M1204" i="1"/>
  <c r="B1204" i="1"/>
  <c r="M1203" i="1"/>
  <c r="B1203" i="1"/>
  <c r="M1202" i="1"/>
  <c r="B1202" i="1"/>
  <c r="M1201" i="1"/>
  <c r="B1201" i="1"/>
  <c r="M1200" i="1"/>
  <c r="B1200" i="1"/>
  <c r="M1199" i="1"/>
  <c r="B1199" i="1"/>
  <c r="M1198" i="1"/>
  <c r="B1198" i="1"/>
  <c r="M1197" i="1"/>
  <c r="B1197" i="1"/>
  <c r="M1196" i="1"/>
  <c r="B1196" i="1"/>
  <c r="M1195" i="1"/>
  <c r="B1195" i="1"/>
  <c r="M1194" i="1"/>
  <c r="B1194" i="1"/>
  <c r="M1193" i="1"/>
  <c r="B1193" i="1"/>
  <c r="M1192" i="1"/>
  <c r="B1192" i="1"/>
  <c r="M1191" i="1"/>
  <c r="B1191" i="1"/>
  <c r="M1190" i="1"/>
  <c r="B1190" i="1"/>
  <c r="M1189" i="1"/>
  <c r="B1189" i="1"/>
  <c r="M1188" i="1"/>
  <c r="B1188" i="1"/>
  <c r="M1187" i="1"/>
  <c r="B1187" i="1"/>
  <c r="M1186" i="1"/>
  <c r="B1186" i="1"/>
  <c r="M1185" i="1"/>
  <c r="B1185" i="1"/>
  <c r="M1184" i="1"/>
  <c r="B1184" i="1"/>
  <c r="M1183" i="1"/>
  <c r="B1183" i="1"/>
  <c r="M1182" i="1"/>
  <c r="B1182" i="1"/>
  <c r="M1181" i="1"/>
  <c r="B1181" i="1"/>
  <c r="M1180" i="1"/>
  <c r="B1180" i="1"/>
  <c r="M1179" i="1"/>
  <c r="B1179" i="1"/>
  <c r="M1178" i="1"/>
  <c r="B1178" i="1"/>
  <c r="M1177" i="1"/>
  <c r="B1177" i="1"/>
  <c r="M1176" i="1"/>
  <c r="B1176" i="1"/>
  <c r="M1175" i="1"/>
  <c r="B1175" i="1"/>
  <c r="M1174" i="1"/>
  <c r="B1174" i="1"/>
  <c r="M1173" i="1"/>
  <c r="B1173" i="1"/>
  <c r="M1172" i="1"/>
  <c r="B1172" i="1"/>
  <c r="M1171" i="1"/>
  <c r="B1171" i="1"/>
  <c r="M1170" i="1"/>
  <c r="B1170" i="1"/>
  <c r="M1169" i="1"/>
  <c r="B1169" i="1"/>
  <c r="M1168" i="1"/>
  <c r="B1168" i="1"/>
  <c r="M1167" i="1"/>
  <c r="B1167" i="1"/>
  <c r="M1166" i="1"/>
  <c r="B1166" i="1"/>
  <c r="M1165" i="1"/>
  <c r="B1165" i="1"/>
  <c r="M1164" i="1"/>
  <c r="B1164" i="1"/>
  <c r="M1163" i="1"/>
  <c r="B1163" i="1"/>
  <c r="M1162" i="1"/>
  <c r="B1162" i="1"/>
  <c r="M1161" i="1"/>
  <c r="B1161" i="1"/>
  <c r="M1159" i="1"/>
  <c r="B1159" i="1"/>
  <c r="M1158" i="1"/>
  <c r="B1158" i="1"/>
  <c r="M1157" i="1"/>
  <c r="B1157" i="1"/>
  <c r="M1156" i="1"/>
  <c r="B1156" i="1"/>
  <c r="M1155" i="1"/>
  <c r="B1155" i="1"/>
  <c r="M1154" i="1"/>
  <c r="B1154" i="1"/>
  <c r="M1153" i="1"/>
  <c r="B1153" i="1"/>
  <c r="M1152" i="1"/>
  <c r="B1152" i="1"/>
  <c r="M1151" i="1"/>
  <c r="B1151" i="1"/>
  <c r="M1150" i="1"/>
  <c r="B1150" i="1"/>
  <c r="M1149" i="1"/>
  <c r="B1149" i="1"/>
  <c r="M1148" i="1"/>
  <c r="B1148" i="1"/>
  <c r="M1147" i="1"/>
  <c r="B1147" i="1"/>
  <c r="M1146" i="1"/>
  <c r="B1146" i="1"/>
  <c r="M1144" i="1"/>
  <c r="B1144" i="1"/>
  <c r="M1143" i="1"/>
  <c r="B1143" i="1"/>
  <c r="M1142" i="1"/>
  <c r="B1142" i="1"/>
  <c r="M1141" i="1"/>
  <c r="B1141" i="1"/>
  <c r="M1140" i="1"/>
  <c r="B1140" i="1"/>
  <c r="M1139" i="1"/>
  <c r="B1139" i="1"/>
  <c r="M1138" i="1"/>
  <c r="B1138" i="1"/>
  <c r="M1137" i="1"/>
  <c r="B1137" i="1"/>
  <c r="M1136" i="1"/>
  <c r="B1136" i="1"/>
  <c r="M1135" i="1"/>
  <c r="B1135" i="1"/>
  <c r="M1134" i="1"/>
  <c r="B1134" i="1"/>
  <c r="M1133" i="1"/>
  <c r="B1133" i="1"/>
  <c r="M1132" i="1"/>
  <c r="B1132" i="1"/>
  <c r="M1131" i="1"/>
  <c r="B1131" i="1"/>
  <c r="M1130" i="1"/>
  <c r="B1130" i="1"/>
  <c r="M1129" i="1"/>
  <c r="B1129" i="1"/>
  <c r="M1128" i="1"/>
  <c r="B1128" i="1"/>
  <c r="M1127" i="1"/>
  <c r="B1127" i="1"/>
  <c r="M1126" i="1"/>
  <c r="B1126" i="1"/>
  <c r="M1125" i="1"/>
  <c r="B1125" i="1"/>
  <c r="M1124" i="1"/>
  <c r="B1124" i="1"/>
  <c r="M1123" i="1"/>
  <c r="B1123" i="1"/>
  <c r="M1122" i="1"/>
  <c r="B1122" i="1"/>
  <c r="M1121" i="1"/>
  <c r="B1121" i="1"/>
  <c r="M1120" i="1"/>
  <c r="B1120" i="1"/>
  <c r="M1119" i="1"/>
  <c r="B1119" i="1"/>
  <c r="M1118" i="1"/>
  <c r="B1118" i="1"/>
  <c r="M1117" i="1"/>
  <c r="B1117" i="1"/>
  <c r="M1116" i="1"/>
  <c r="B1116" i="1"/>
  <c r="M1115" i="1"/>
  <c r="B1115" i="1"/>
  <c r="M1114" i="1"/>
  <c r="B1114" i="1"/>
  <c r="M1113" i="1"/>
  <c r="B1113" i="1"/>
  <c r="M1112" i="1"/>
  <c r="B1112" i="1"/>
  <c r="M1111" i="1"/>
  <c r="B1111" i="1"/>
  <c r="M1110" i="1"/>
  <c r="B1110" i="1"/>
  <c r="M1109" i="1"/>
  <c r="B1109" i="1"/>
  <c r="M1108" i="1"/>
  <c r="B1108" i="1"/>
  <c r="M1107" i="1"/>
  <c r="M1106" i="1"/>
  <c r="M1105" i="1"/>
  <c r="B1105" i="1"/>
  <c r="M1104" i="1"/>
  <c r="B1104" i="1"/>
  <c r="M1103" i="1"/>
  <c r="B1103" i="1"/>
  <c r="M1102" i="1"/>
  <c r="B1102" i="1"/>
  <c r="M1101" i="1"/>
  <c r="B1101" i="1"/>
  <c r="M1100" i="1"/>
  <c r="B1100" i="1"/>
  <c r="M1099" i="1"/>
  <c r="B1099" i="1"/>
  <c r="M1098" i="1"/>
  <c r="B1098" i="1"/>
  <c r="M1097" i="1"/>
  <c r="B1097" i="1"/>
  <c r="M1096" i="1"/>
  <c r="B1096" i="1"/>
  <c r="M1095" i="1"/>
  <c r="B1095" i="1"/>
  <c r="M1094" i="1"/>
  <c r="B1094" i="1"/>
  <c r="M1093" i="1"/>
  <c r="B1093" i="1"/>
  <c r="M1092" i="1"/>
  <c r="B1092" i="1"/>
  <c r="M1091" i="1"/>
  <c r="B1091" i="1"/>
  <c r="M1090" i="1"/>
  <c r="B1090" i="1"/>
  <c r="M1089" i="1"/>
  <c r="B1089" i="1"/>
  <c r="M1088" i="1"/>
  <c r="B1088" i="1"/>
  <c r="M1087" i="1"/>
  <c r="B1087" i="1"/>
  <c r="M1086" i="1"/>
  <c r="B1086" i="1"/>
  <c r="M1085" i="1"/>
  <c r="B1085" i="1"/>
  <c r="M1084" i="1"/>
  <c r="B1084" i="1"/>
  <c r="M1083" i="1"/>
  <c r="B1083" i="1"/>
  <c r="M1082" i="1"/>
  <c r="B1082" i="1"/>
  <c r="M1081" i="1"/>
  <c r="B1081" i="1"/>
  <c r="M1080" i="1"/>
  <c r="B1080" i="1"/>
  <c r="M1079" i="1"/>
  <c r="B1079" i="1"/>
  <c r="M1078" i="1"/>
  <c r="B1078" i="1"/>
  <c r="M1077" i="1"/>
  <c r="B1077" i="1"/>
  <c r="M1076" i="1"/>
  <c r="B1076" i="1"/>
  <c r="M1075" i="1"/>
  <c r="B1075" i="1"/>
  <c r="M1074" i="1"/>
  <c r="B1074" i="1"/>
  <c r="M1073" i="1"/>
  <c r="B1073" i="1"/>
  <c r="M1072" i="1"/>
  <c r="B1072" i="1"/>
  <c r="M1071" i="1"/>
  <c r="B1071" i="1"/>
  <c r="M1070" i="1"/>
  <c r="B1070" i="1"/>
  <c r="M1069" i="1"/>
  <c r="B1069" i="1"/>
  <c r="M1068" i="1"/>
  <c r="B1068" i="1"/>
  <c r="M1067" i="1"/>
  <c r="B1067" i="1"/>
  <c r="M1066" i="1"/>
  <c r="B1066" i="1"/>
  <c r="M1065" i="1"/>
  <c r="B1065" i="1"/>
  <c r="M1064" i="1"/>
  <c r="B1064" i="1"/>
  <c r="M1063" i="1"/>
  <c r="B1063" i="1"/>
  <c r="M1062" i="1"/>
  <c r="B1062" i="1"/>
  <c r="M1061" i="1"/>
  <c r="B1061" i="1"/>
  <c r="M1060" i="1"/>
  <c r="B1060" i="1"/>
  <c r="M1059" i="1"/>
  <c r="B1059" i="1"/>
  <c r="M1058" i="1"/>
  <c r="B1058" i="1"/>
  <c r="M1057" i="1"/>
  <c r="B1057" i="1"/>
  <c r="M1056" i="1"/>
  <c r="B1056" i="1"/>
  <c r="M1055" i="1"/>
  <c r="B1055" i="1"/>
  <c r="M1054" i="1"/>
  <c r="B1054" i="1"/>
  <c r="M1053" i="1"/>
  <c r="B1053" i="1"/>
  <c r="M1052" i="1"/>
  <c r="B1052" i="1"/>
  <c r="M1051" i="1"/>
  <c r="B1051" i="1"/>
  <c r="M1050" i="1"/>
  <c r="B1050" i="1"/>
  <c r="M1049" i="1"/>
  <c r="B1049" i="1"/>
  <c r="M1048" i="1"/>
  <c r="B1048" i="1"/>
  <c r="M1047" i="1"/>
  <c r="B1047" i="1"/>
  <c r="M1046" i="1"/>
  <c r="B1046" i="1"/>
  <c r="M1045" i="1"/>
  <c r="B1045" i="1"/>
  <c r="M1044" i="1"/>
  <c r="B1044" i="1"/>
  <c r="M1043" i="1"/>
  <c r="B1043" i="1"/>
  <c r="M1042" i="1"/>
  <c r="B1042" i="1"/>
  <c r="M1041" i="1"/>
  <c r="B1041" i="1"/>
  <c r="M1040" i="1"/>
  <c r="B1040" i="1"/>
  <c r="M1039" i="1"/>
  <c r="B1039" i="1"/>
  <c r="M1038" i="1"/>
  <c r="B1038" i="1"/>
  <c r="M1037" i="1"/>
  <c r="B1037" i="1"/>
  <c r="M1036" i="1"/>
  <c r="B1036" i="1"/>
  <c r="M1035" i="1"/>
  <c r="B1035" i="1"/>
  <c r="M1034" i="1"/>
  <c r="B1034" i="1"/>
  <c r="M1033" i="1"/>
  <c r="B1033" i="1"/>
  <c r="M1032" i="1"/>
  <c r="B1032" i="1"/>
  <c r="M1031" i="1"/>
  <c r="B1031" i="1"/>
  <c r="M1030" i="1"/>
  <c r="B1030" i="1"/>
  <c r="M1029" i="1"/>
  <c r="B1029" i="1"/>
  <c r="M1028" i="1"/>
  <c r="B1028" i="1"/>
  <c r="M1027" i="1"/>
  <c r="B1027" i="1"/>
  <c r="M1026" i="1"/>
  <c r="B1026" i="1"/>
  <c r="M1025" i="1"/>
  <c r="B1025" i="1"/>
  <c r="M1024" i="1"/>
  <c r="B1024" i="1"/>
  <c r="M1023" i="1"/>
  <c r="B1023" i="1"/>
  <c r="M1022" i="1"/>
  <c r="B1022" i="1"/>
  <c r="M1021" i="1"/>
  <c r="B1021" i="1"/>
  <c r="M1020" i="1"/>
  <c r="B1020" i="1"/>
  <c r="M1019" i="1"/>
  <c r="B1019" i="1"/>
  <c r="M1018" i="1"/>
  <c r="B1018" i="1"/>
  <c r="M1017" i="1"/>
  <c r="B1017" i="1"/>
  <c r="M1016" i="1"/>
  <c r="B1016" i="1"/>
  <c r="M1015" i="1"/>
  <c r="B1015" i="1"/>
  <c r="M1014" i="1"/>
  <c r="B1014" i="1"/>
  <c r="M1013" i="1"/>
  <c r="B1013" i="1"/>
  <c r="M1012" i="1"/>
  <c r="B1012" i="1"/>
  <c r="M1011" i="1"/>
  <c r="B1011" i="1"/>
  <c r="M1010" i="1"/>
  <c r="B1010" i="1"/>
  <c r="M1009" i="1"/>
  <c r="B1009" i="1"/>
  <c r="M1008" i="1"/>
  <c r="B1008" i="1"/>
  <c r="M1007" i="1"/>
  <c r="B1007" i="1"/>
  <c r="M1006" i="1"/>
  <c r="B1006" i="1"/>
  <c r="M1005" i="1"/>
  <c r="B1005" i="1"/>
  <c r="M1004" i="1"/>
  <c r="B1004" i="1"/>
  <c r="M1003" i="1"/>
  <c r="B1003" i="1"/>
  <c r="M1002" i="1"/>
  <c r="B1002" i="1"/>
  <c r="M1001" i="1"/>
  <c r="B1001" i="1"/>
  <c r="M1000" i="1"/>
  <c r="B1000" i="1"/>
  <c r="M999" i="1"/>
  <c r="B999" i="1"/>
  <c r="M998" i="1"/>
  <c r="B998" i="1"/>
  <c r="M997" i="1"/>
  <c r="B997" i="1"/>
  <c r="M996" i="1"/>
  <c r="B996" i="1"/>
  <c r="M995" i="1"/>
  <c r="B995" i="1"/>
  <c r="M994" i="1"/>
  <c r="B994" i="1"/>
  <c r="M993" i="1"/>
  <c r="B993" i="1"/>
  <c r="M992" i="1"/>
  <c r="B992" i="1"/>
  <c r="M991" i="1"/>
  <c r="B991" i="1"/>
  <c r="M990" i="1"/>
  <c r="B990" i="1"/>
  <c r="M989" i="1"/>
  <c r="B989" i="1"/>
  <c r="M988" i="1"/>
  <c r="B988" i="1"/>
  <c r="M987" i="1"/>
  <c r="B987" i="1"/>
  <c r="M986" i="1"/>
  <c r="B986" i="1"/>
  <c r="M985" i="1"/>
  <c r="B985" i="1"/>
  <c r="M984" i="1"/>
  <c r="B984" i="1"/>
  <c r="M983" i="1"/>
  <c r="B983" i="1"/>
  <c r="M982" i="1"/>
  <c r="B982" i="1"/>
  <c r="M981" i="1"/>
  <c r="B981" i="1"/>
  <c r="M980" i="1"/>
  <c r="B980" i="1"/>
  <c r="M979" i="1"/>
  <c r="B979" i="1"/>
  <c r="M978" i="1"/>
  <c r="B978" i="1"/>
  <c r="M977" i="1"/>
  <c r="B977" i="1"/>
  <c r="M976" i="1"/>
  <c r="B976" i="1"/>
  <c r="M975" i="1"/>
  <c r="B975" i="1"/>
  <c r="M974" i="1"/>
  <c r="B974" i="1"/>
  <c r="M973" i="1"/>
  <c r="B973" i="1"/>
  <c r="M972" i="1"/>
  <c r="B972" i="1"/>
  <c r="M971" i="1"/>
  <c r="B971" i="1"/>
  <c r="M970" i="1"/>
  <c r="B970" i="1"/>
  <c r="M969" i="1"/>
  <c r="B969" i="1"/>
  <c r="M968" i="1"/>
  <c r="B968" i="1"/>
  <c r="M967" i="1"/>
  <c r="B967" i="1"/>
  <c r="M966" i="1"/>
  <c r="B966" i="1"/>
  <c r="M965" i="1"/>
  <c r="B965" i="1"/>
  <c r="M964" i="1"/>
  <c r="B964" i="1"/>
  <c r="M963" i="1"/>
  <c r="B963" i="1"/>
  <c r="M962" i="1"/>
  <c r="B962" i="1"/>
  <c r="M961" i="1"/>
  <c r="B961" i="1"/>
  <c r="M960" i="1"/>
  <c r="B960" i="1"/>
  <c r="M959" i="1"/>
  <c r="B959" i="1"/>
  <c r="M958" i="1"/>
  <c r="B958" i="1"/>
  <c r="M957" i="1"/>
  <c r="B957" i="1"/>
  <c r="M956" i="1"/>
  <c r="B956" i="1"/>
  <c r="M955" i="1"/>
  <c r="B955" i="1"/>
  <c r="M954" i="1"/>
  <c r="B954" i="1"/>
  <c r="M953" i="1"/>
  <c r="B953" i="1"/>
  <c r="M952" i="1"/>
  <c r="B952" i="1"/>
  <c r="M951" i="1"/>
  <c r="B951" i="1"/>
  <c r="M950" i="1"/>
  <c r="B950" i="1"/>
  <c r="M949" i="1"/>
  <c r="B949" i="1"/>
  <c r="M948" i="1"/>
  <c r="B948" i="1"/>
  <c r="M947" i="1"/>
  <c r="B947" i="1"/>
  <c r="M946" i="1"/>
  <c r="B946" i="1"/>
  <c r="M945" i="1"/>
  <c r="B945" i="1"/>
  <c r="M944" i="1"/>
  <c r="B944" i="1"/>
  <c r="M943" i="1"/>
  <c r="B943" i="1"/>
  <c r="M942" i="1"/>
  <c r="B942" i="1"/>
  <c r="M941" i="1"/>
  <c r="B941" i="1"/>
  <c r="M940" i="1"/>
  <c r="B940" i="1"/>
  <c r="M939" i="1"/>
  <c r="B939" i="1"/>
  <c r="M938" i="1"/>
  <c r="B938" i="1"/>
  <c r="M937" i="1"/>
  <c r="B937" i="1"/>
  <c r="M936" i="1"/>
  <c r="B936" i="1"/>
  <c r="M935" i="1"/>
  <c r="B935" i="1"/>
  <c r="M933" i="1"/>
  <c r="B933" i="1"/>
  <c r="M932" i="1"/>
  <c r="B932" i="1"/>
  <c r="M931" i="1"/>
  <c r="B931" i="1"/>
  <c r="M930" i="1"/>
  <c r="B930" i="1"/>
  <c r="M929" i="1"/>
  <c r="B929" i="1"/>
  <c r="M928" i="1"/>
  <c r="B928" i="1"/>
  <c r="M927" i="1"/>
  <c r="B927" i="1"/>
  <c r="M926" i="1"/>
  <c r="B926" i="1"/>
  <c r="M925" i="1"/>
  <c r="B925" i="1"/>
  <c r="M924" i="1"/>
  <c r="B924" i="1"/>
  <c r="M923" i="1"/>
  <c r="B923" i="1"/>
  <c r="M922" i="1"/>
  <c r="B922" i="1"/>
  <c r="M921" i="1"/>
  <c r="B921" i="1"/>
  <c r="M920" i="1"/>
  <c r="B920" i="1"/>
  <c r="M919" i="1"/>
  <c r="B919" i="1"/>
  <c r="M918" i="1"/>
  <c r="B918" i="1"/>
  <c r="M917" i="1"/>
  <c r="B917" i="1"/>
  <c r="M916" i="1"/>
  <c r="B916" i="1"/>
  <c r="M915" i="1"/>
  <c r="B915" i="1"/>
  <c r="M914" i="1"/>
  <c r="B914" i="1"/>
  <c r="M913" i="1"/>
  <c r="B913" i="1"/>
  <c r="M912" i="1"/>
  <c r="B912" i="1"/>
  <c r="M911" i="1"/>
  <c r="B911" i="1"/>
  <c r="M910" i="1"/>
  <c r="B910" i="1"/>
  <c r="M909" i="1"/>
  <c r="B909" i="1"/>
  <c r="M908" i="1"/>
  <c r="B908" i="1"/>
  <c r="M907" i="1"/>
  <c r="B907" i="1"/>
  <c r="M906" i="1"/>
  <c r="B906" i="1"/>
  <c r="M905" i="1"/>
  <c r="B905" i="1"/>
  <c r="M904" i="1"/>
  <c r="B904" i="1"/>
  <c r="M903" i="1"/>
  <c r="B903" i="1"/>
  <c r="M902" i="1"/>
  <c r="B902" i="1"/>
  <c r="M901" i="1"/>
  <c r="B901" i="1"/>
  <c r="M900" i="1"/>
  <c r="B900" i="1"/>
  <c r="M899" i="1"/>
  <c r="B899" i="1"/>
  <c r="M898" i="1"/>
  <c r="B898" i="1"/>
  <c r="M897" i="1"/>
  <c r="B897" i="1"/>
  <c r="M896" i="1"/>
  <c r="B896" i="1"/>
  <c r="M895" i="1"/>
  <c r="B895" i="1"/>
  <c r="M894" i="1"/>
  <c r="B894" i="1"/>
  <c r="M893" i="1"/>
  <c r="B893" i="1"/>
  <c r="M892" i="1"/>
  <c r="B892" i="1"/>
  <c r="M891" i="1"/>
  <c r="B891" i="1"/>
  <c r="M890" i="1"/>
  <c r="B890" i="1"/>
  <c r="M889" i="1"/>
  <c r="B889" i="1"/>
  <c r="M888" i="1"/>
  <c r="B888" i="1"/>
  <c r="M887" i="1"/>
  <c r="B887" i="1"/>
  <c r="M886" i="1"/>
  <c r="B886" i="1"/>
  <c r="M885" i="1"/>
  <c r="B885" i="1"/>
  <c r="M884" i="1"/>
  <c r="B884" i="1"/>
  <c r="M883" i="1"/>
  <c r="B883" i="1"/>
  <c r="M882" i="1"/>
  <c r="B882" i="1"/>
  <c r="M881" i="1"/>
  <c r="B881" i="1"/>
  <c r="M880" i="1"/>
  <c r="B880" i="1"/>
  <c r="M879" i="1"/>
  <c r="B879" i="1"/>
  <c r="M878" i="1"/>
  <c r="B878" i="1"/>
  <c r="M877" i="1"/>
  <c r="B877" i="1"/>
  <c r="M876" i="1"/>
  <c r="B876" i="1"/>
  <c r="M875" i="1"/>
  <c r="B875" i="1"/>
  <c r="M874" i="1"/>
  <c r="B874" i="1"/>
  <c r="M873" i="1"/>
  <c r="B873" i="1"/>
  <c r="M872" i="1"/>
  <c r="B872" i="1"/>
  <c r="M871" i="1"/>
  <c r="B871" i="1"/>
  <c r="M870" i="1"/>
  <c r="B870" i="1"/>
  <c r="M869" i="1"/>
  <c r="B869" i="1"/>
  <c r="M868" i="1"/>
  <c r="B868" i="1"/>
  <c r="M867" i="1"/>
  <c r="B867" i="1"/>
  <c r="M866" i="1"/>
  <c r="B866" i="1"/>
  <c r="M865" i="1"/>
  <c r="B865" i="1"/>
  <c r="M864" i="1"/>
  <c r="B864" i="1"/>
  <c r="M863" i="1"/>
  <c r="B863" i="1"/>
  <c r="M862" i="1"/>
  <c r="B862" i="1"/>
  <c r="M861" i="1"/>
  <c r="B861" i="1"/>
  <c r="M860" i="1"/>
  <c r="B860" i="1"/>
  <c r="M859" i="1"/>
  <c r="B859" i="1"/>
  <c r="M858" i="1"/>
  <c r="B858" i="1"/>
  <c r="M857" i="1"/>
  <c r="B857" i="1"/>
  <c r="M856" i="1"/>
  <c r="B856" i="1"/>
  <c r="M855" i="1"/>
  <c r="B855" i="1"/>
  <c r="M854" i="1"/>
  <c r="B854" i="1"/>
  <c r="M853" i="1"/>
  <c r="B853" i="1"/>
  <c r="M852" i="1"/>
  <c r="B852" i="1"/>
  <c r="M851" i="1"/>
  <c r="B851" i="1"/>
  <c r="M849" i="1"/>
  <c r="B849" i="1"/>
  <c r="M848" i="1"/>
  <c r="B848" i="1"/>
  <c r="M846" i="1"/>
  <c r="B846" i="1"/>
  <c r="M844" i="1"/>
  <c r="B844" i="1"/>
  <c r="M843" i="1"/>
  <c r="B843" i="1"/>
  <c r="M842" i="1"/>
  <c r="B842" i="1"/>
  <c r="M841" i="1"/>
  <c r="B841" i="1"/>
  <c r="M840" i="1"/>
  <c r="B840" i="1"/>
  <c r="M839" i="1"/>
  <c r="B839" i="1"/>
  <c r="M837" i="1"/>
  <c r="B837" i="1"/>
  <c r="M835" i="1"/>
  <c r="B835" i="1"/>
  <c r="M834" i="1"/>
  <c r="B834" i="1"/>
  <c r="M833" i="1"/>
  <c r="B833" i="1"/>
  <c r="M832" i="1"/>
  <c r="B832" i="1"/>
  <c r="M831" i="1"/>
  <c r="B831" i="1"/>
  <c r="M830" i="1"/>
  <c r="B830" i="1"/>
  <c r="M829" i="1"/>
  <c r="B829" i="1"/>
  <c r="M828" i="1"/>
  <c r="B828" i="1"/>
  <c r="M827" i="1"/>
  <c r="B827" i="1"/>
  <c r="M826" i="1"/>
  <c r="B826" i="1"/>
  <c r="M825" i="1"/>
  <c r="B825" i="1"/>
  <c r="M824" i="1"/>
  <c r="B824" i="1"/>
  <c r="M823" i="1"/>
  <c r="B823" i="1"/>
  <c r="M822" i="1"/>
  <c r="B822" i="1"/>
  <c r="M821" i="1"/>
  <c r="B821" i="1"/>
  <c r="M820" i="1"/>
  <c r="B820" i="1"/>
  <c r="M819" i="1"/>
  <c r="B819" i="1"/>
  <c r="M818" i="1"/>
  <c r="B818" i="1"/>
  <c r="M817" i="1"/>
  <c r="B817" i="1"/>
  <c r="M816" i="1"/>
  <c r="B816" i="1"/>
  <c r="M815" i="1"/>
  <c r="B815" i="1"/>
  <c r="M814" i="1"/>
  <c r="B814" i="1"/>
  <c r="M813" i="1"/>
  <c r="B813" i="1"/>
  <c r="M812" i="1"/>
  <c r="B812" i="1"/>
  <c r="M811" i="1"/>
  <c r="B811" i="1"/>
  <c r="M810" i="1"/>
  <c r="B810" i="1"/>
  <c r="M809" i="1"/>
  <c r="B809" i="1"/>
  <c r="M808" i="1"/>
  <c r="B808" i="1"/>
  <c r="M807" i="1"/>
  <c r="B807" i="1"/>
  <c r="M806" i="1"/>
  <c r="B806" i="1"/>
  <c r="M805" i="1"/>
  <c r="B805" i="1"/>
  <c r="M804" i="1"/>
  <c r="B804" i="1"/>
  <c r="M803" i="1"/>
  <c r="B803" i="1"/>
  <c r="M802" i="1"/>
  <c r="B802" i="1"/>
  <c r="M801" i="1"/>
  <c r="B801" i="1"/>
  <c r="M800" i="1"/>
  <c r="B800" i="1"/>
  <c r="M799" i="1"/>
  <c r="B799" i="1"/>
  <c r="M798" i="1"/>
  <c r="B798" i="1"/>
  <c r="M797" i="1"/>
  <c r="B797" i="1"/>
  <c r="M796" i="1"/>
  <c r="B796" i="1"/>
  <c r="M795" i="1"/>
  <c r="B795" i="1"/>
  <c r="M794" i="1"/>
  <c r="B794" i="1"/>
  <c r="M793" i="1"/>
  <c r="B793" i="1"/>
  <c r="M792" i="1"/>
  <c r="B792" i="1"/>
  <c r="M791" i="1"/>
  <c r="B791" i="1"/>
  <c r="M790" i="1"/>
  <c r="B790" i="1"/>
  <c r="M789" i="1"/>
  <c r="B789" i="1"/>
  <c r="M788" i="1"/>
  <c r="B788" i="1"/>
  <c r="M787" i="1"/>
  <c r="B787" i="1"/>
  <c r="M786" i="1"/>
  <c r="B786" i="1"/>
  <c r="M785" i="1"/>
  <c r="B785" i="1"/>
  <c r="M784" i="1"/>
  <c r="B784" i="1"/>
  <c r="M783" i="1"/>
  <c r="B783" i="1"/>
  <c r="M782" i="1"/>
  <c r="B782" i="1"/>
  <c r="M781" i="1"/>
  <c r="B781" i="1"/>
  <c r="M780" i="1"/>
  <c r="B780" i="1"/>
  <c r="M779" i="1"/>
  <c r="B779" i="1"/>
  <c r="M778" i="1"/>
  <c r="B778" i="1"/>
  <c r="M777" i="1"/>
  <c r="B777" i="1"/>
  <c r="M776" i="1"/>
  <c r="B776" i="1"/>
  <c r="M775" i="1"/>
  <c r="B775" i="1"/>
  <c r="M774" i="1"/>
  <c r="B774" i="1"/>
  <c r="M773" i="1"/>
  <c r="B773" i="1"/>
  <c r="M772" i="1"/>
  <c r="B772" i="1"/>
  <c r="M771" i="1"/>
  <c r="B771" i="1"/>
  <c r="M770" i="1"/>
  <c r="B770" i="1"/>
  <c r="M769" i="1"/>
  <c r="B769" i="1"/>
  <c r="M768" i="1"/>
  <c r="B768" i="1"/>
  <c r="M767" i="1"/>
  <c r="B767" i="1"/>
  <c r="M765" i="1"/>
  <c r="B765" i="1"/>
  <c r="M764" i="1"/>
  <c r="B764" i="1"/>
  <c r="M763" i="1"/>
  <c r="B763" i="1"/>
  <c r="M762" i="1"/>
  <c r="B762" i="1"/>
  <c r="M761" i="1"/>
  <c r="B761" i="1"/>
  <c r="M760" i="1"/>
  <c r="B760" i="1"/>
  <c r="M759" i="1"/>
  <c r="B759" i="1"/>
  <c r="M758" i="1"/>
  <c r="B758" i="1"/>
  <c r="M757" i="1"/>
  <c r="B757" i="1"/>
  <c r="M755" i="1"/>
  <c r="B755" i="1"/>
  <c r="M754" i="1"/>
  <c r="B754" i="1"/>
  <c r="M752" i="1"/>
  <c r="B752" i="1"/>
  <c r="M751" i="1"/>
  <c r="B751" i="1"/>
  <c r="M750" i="1"/>
  <c r="B750" i="1"/>
  <c r="M749" i="1"/>
  <c r="B749" i="1"/>
  <c r="M748" i="1"/>
  <c r="B748" i="1"/>
  <c r="M747" i="1"/>
  <c r="B747" i="1"/>
  <c r="M746" i="1"/>
  <c r="B746" i="1"/>
  <c r="M745" i="1"/>
  <c r="B745" i="1"/>
  <c r="M744" i="1"/>
  <c r="B744" i="1"/>
  <c r="M743" i="1"/>
  <c r="B743" i="1"/>
  <c r="M742" i="1"/>
  <c r="B742" i="1"/>
  <c r="M741" i="1"/>
  <c r="B741" i="1"/>
  <c r="M740" i="1"/>
  <c r="B740" i="1"/>
  <c r="M739" i="1"/>
  <c r="B739" i="1"/>
  <c r="M738" i="1"/>
  <c r="B738" i="1"/>
  <c r="M737" i="1"/>
  <c r="B737" i="1"/>
  <c r="M736" i="1"/>
  <c r="B736" i="1"/>
  <c r="M735" i="1"/>
  <c r="B735" i="1"/>
  <c r="M734" i="1"/>
  <c r="B734" i="1"/>
  <c r="M733" i="1"/>
  <c r="B733" i="1"/>
  <c r="M732" i="1"/>
  <c r="B732" i="1"/>
  <c r="M731" i="1"/>
  <c r="B731" i="1"/>
  <c r="M730" i="1"/>
  <c r="B730" i="1"/>
  <c r="M729" i="1"/>
  <c r="B729" i="1"/>
  <c r="M728" i="1"/>
  <c r="B728" i="1"/>
  <c r="M727" i="1"/>
  <c r="B727" i="1"/>
  <c r="M726" i="1"/>
  <c r="B726" i="1"/>
  <c r="M725" i="1"/>
  <c r="B725" i="1"/>
  <c r="M724" i="1"/>
  <c r="B724" i="1"/>
  <c r="M722" i="1"/>
  <c r="B722" i="1"/>
  <c r="M721" i="1"/>
  <c r="B721" i="1"/>
  <c r="M720" i="1"/>
  <c r="B720" i="1"/>
  <c r="M719" i="1"/>
  <c r="B719" i="1"/>
  <c r="M718" i="1"/>
  <c r="B718" i="1"/>
  <c r="M717" i="1"/>
  <c r="B717" i="1"/>
  <c r="M716" i="1"/>
  <c r="B716" i="1"/>
  <c r="M715" i="1"/>
  <c r="B715" i="1"/>
  <c r="M714" i="1"/>
  <c r="B714" i="1"/>
  <c r="M712" i="1"/>
  <c r="B712" i="1"/>
  <c r="M710" i="1"/>
  <c r="B710" i="1"/>
  <c r="M709" i="1"/>
  <c r="B709" i="1"/>
  <c r="M708" i="1"/>
  <c r="B708" i="1"/>
  <c r="M707" i="1"/>
  <c r="B707" i="1"/>
  <c r="M706" i="1"/>
  <c r="B706" i="1"/>
  <c r="M705" i="1"/>
  <c r="B705" i="1"/>
  <c r="M704" i="1"/>
  <c r="B704" i="1"/>
  <c r="M703" i="1"/>
  <c r="B703" i="1"/>
  <c r="M702" i="1"/>
  <c r="B702" i="1"/>
  <c r="M701" i="1"/>
  <c r="B701" i="1"/>
  <c r="M700" i="1"/>
  <c r="B700" i="1"/>
  <c r="M699" i="1"/>
  <c r="B699" i="1"/>
  <c r="M698" i="1"/>
  <c r="B698" i="1"/>
  <c r="M697" i="1"/>
  <c r="B697" i="1"/>
  <c r="M696" i="1"/>
  <c r="B696" i="1"/>
  <c r="M695" i="1"/>
  <c r="B695" i="1"/>
  <c r="M693" i="1"/>
  <c r="B693" i="1"/>
  <c r="M692" i="1"/>
  <c r="B692" i="1"/>
  <c r="M691" i="1"/>
  <c r="B691" i="1"/>
  <c r="M690" i="1"/>
  <c r="B690" i="1"/>
  <c r="M689" i="1"/>
  <c r="B689" i="1"/>
  <c r="M688" i="1"/>
  <c r="B688" i="1"/>
  <c r="M687" i="1"/>
  <c r="B687" i="1"/>
  <c r="M686" i="1"/>
  <c r="B686" i="1"/>
  <c r="M685" i="1"/>
  <c r="B685" i="1"/>
  <c r="M684" i="1"/>
  <c r="B684" i="1"/>
  <c r="M683" i="1"/>
  <c r="B683" i="1"/>
  <c r="M682" i="1"/>
  <c r="B682" i="1"/>
  <c r="M681" i="1"/>
  <c r="B681" i="1"/>
  <c r="M680" i="1"/>
  <c r="B680" i="1"/>
  <c r="M679" i="1"/>
  <c r="B679" i="1"/>
  <c r="M678" i="1"/>
  <c r="B678" i="1"/>
  <c r="M677" i="1"/>
  <c r="B677" i="1"/>
  <c r="M676" i="1"/>
  <c r="B676" i="1"/>
  <c r="M675" i="1"/>
  <c r="B675" i="1"/>
  <c r="M674" i="1"/>
  <c r="B674" i="1"/>
  <c r="M673" i="1"/>
  <c r="B673" i="1"/>
  <c r="M672" i="1"/>
  <c r="B672" i="1"/>
  <c r="M671" i="1"/>
  <c r="B671" i="1"/>
  <c r="M670" i="1"/>
  <c r="B670" i="1"/>
  <c r="M669" i="1"/>
  <c r="B669" i="1"/>
  <c r="M668" i="1"/>
  <c r="B668" i="1"/>
  <c r="M667" i="1"/>
  <c r="B667" i="1"/>
  <c r="M666" i="1"/>
  <c r="B666" i="1"/>
  <c r="M665" i="1"/>
  <c r="B665" i="1"/>
  <c r="M664" i="1"/>
  <c r="B664" i="1"/>
  <c r="M663" i="1"/>
  <c r="B663" i="1"/>
  <c r="M662" i="1"/>
  <c r="B662" i="1"/>
  <c r="M661" i="1"/>
  <c r="B661" i="1"/>
  <c r="M660" i="1"/>
  <c r="B660" i="1"/>
  <c r="M659" i="1"/>
  <c r="B659" i="1"/>
  <c r="M658" i="1"/>
  <c r="B658" i="1"/>
  <c r="M657" i="1"/>
  <c r="B657" i="1"/>
  <c r="M656" i="1"/>
  <c r="B656" i="1"/>
  <c r="M655" i="1"/>
  <c r="B655" i="1"/>
  <c r="M654" i="1"/>
  <c r="B654" i="1"/>
  <c r="M653" i="1"/>
  <c r="B653" i="1"/>
  <c r="M652" i="1"/>
  <c r="B652" i="1"/>
  <c r="M651" i="1"/>
  <c r="B651" i="1"/>
  <c r="M650" i="1"/>
  <c r="B650" i="1"/>
  <c r="M649" i="1"/>
  <c r="B649" i="1"/>
  <c r="M648" i="1"/>
  <c r="B648" i="1"/>
  <c r="M647" i="1"/>
  <c r="B647" i="1"/>
  <c r="M646" i="1"/>
  <c r="B646" i="1"/>
  <c r="M645" i="1"/>
  <c r="B645" i="1"/>
  <c r="M644" i="1"/>
  <c r="B644" i="1"/>
  <c r="M643" i="1"/>
  <c r="B643" i="1"/>
  <c r="M642" i="1"/>
  <c r="B642" i="1"/>
  <c r="M641" i="1"/>
  <c r="B641" i="1"/>
  <c r="M640" i="1"/>
  <c r="B640" i="1"/>
  <c r="M639" i="1"/>
  <c r="B639" i="1"/>
  <c r="M638" i="1"/>
  <c r="B638" i="1"/>
  <c r="M637" i="1"/>
  <c r="B637" i="1"/>
  <c r="M636" i="1"/>
  <c r="B636" i="1"/>
  <c r="M635" i="1"/>
  <c r="B635" i="1"/>
  <c r="M634" i="1"/>
  <c r="B634" i="1"/>
  <c r="M633" i="1"/>
  <c r="B633" i="1"/>
  <c r="M632" i="1"/>
  <c r="B632" i="1"/>
  <c r="M631" i="1"/>
  <c r="B631" i="1"/>
  <c r="M630" i="1"/>
  <c r="B630" i="1"/>
  <c r="M629" i="1"/>
  <c r="B629" i="1"/>
  <c r="M628" i="1"/>
  <c r="B628" i="1"/>
  <c r="M627" i="1"/>
  <c r="B627" i="1"/>
  <c r="M626" i="1"/>
  <c r="B626" i="1"/>
  <c r="M625" i="1"/>
  <c r="B625" i="1"/>
  <c r="M624" i="1"/>
  <c r="B624" i="1"/>
  <c r="M623" i="1"/>
  <c r="B623" i="1"/>
  <c r="M622" i="1"/>
  <c r="B622" i="1"/>
  <c r="M621" i="1"/>
  <c r="B621" i="1"/>
  <c r="M620" i="1"/>
  <c r="B620" i="1"/>
  <c r="M619" i="1"/>
  <c r="B619" i="1"/>
  <c r="M618" i="1"/>
  <c r="B618" i="1"/>
  <c r="M617" i="1"/>
  <c r="B617" i="1"/>
  <c r="M616" i="1"/>
  <c r="B616" i="1"/>
  <c r="M615" i="1"/>
  <c r="B615" i="1"/>
  <c r="M614" i="1"/>
  <c r="B614" i="1"/>
  <c r="M613" i="1"/>
  <c r="B613" i="1"/>
  <c r="M612" i="1"/>
  <c r="B612" i="1"/>
  <c r="M611" i="1"/>
  <c r="B611" i="1"/>
  <c r="M610" i="1"/>
  <c r="B610" i="1"/>
  <c r="M609" i="1"/>
  <c r="B609" i="1"/>
  <c r="M608" i="1"/>
  <c r="B608" i="1"/>
  <c r="M607" i="1"/>
  <c r="B607" i="1"/>
  <c r="M606" i="1"/>
  <c r="B606" i="1"/>
  <c r="M605" i="1"/>
  <c r="B605" i="1"/>
  <c r="M604" i="1"/>
  <c r="B604" i="1"/>
  <c r="M603" i="1"/>
  <c r="B603" i="1"/>
  <c r="M602" i="1"/>
  <c r="B602" i="1"/>
  <c r="M601" i="1"/>
  <c r="B601" i="1"/>
  <c r="M600" i="1"/>
  <c r="B600" i="1"/>
  <c r="M599" i="1"/>
  <c r="B599" i="1"/>
  <c r="M598" i="1"/>
  <c r="B598" i="1"/>
  <c r="M597" i="1"/>
  <c r="B597" i="1"/>
  <c r="M596" i="1"/>
  <c r="B596" i="1"/>
  <c r="M595" i="1"/>
  <c r="B595" i="1"/>
  <c r="M594" i="1"/>
  <c r="B594" i="1"/>
  <c r="M593" i="1"/>
  <c r="B593" i="1"/>
  <c r="M592" i="1"/>
  <c r="B592" i="1"/>
  <c r="M591" i="1"/>
  <c r="B591" i="1"/>
  <c r="M590" i="1"/>
  <c r="B590" i="1"/>
  <c r="M589" i="1"/>
  <c r="B589" i="1"/>
  <c r="M588" i="1"/>
  <c r="B588" i="1"/>
  <c r="M587" i="1"/>
  <c r="B587" i="1"/>
  <c r="M586" i="1"/>
  <c r="B586" i="1"/>
  <c r="M585" i="1"/>
  <c r="B585" i="1"/>
  <c r="M584" i="1"/>
  <c r="B584" i="1"/>
  <c r="M583" i="1"/>
  <c r="B583" i="1"/>
  <c r="M582" i="1"/>
  <c r="B582" i="1"/>
  <c r="M581" i="1"/>
  <c r="B581" i="1"/>
  <c r="M580" i="1"/>
  <c r="B580" i="1"/>
  <c r="M579" i="1"/>
  <c r="B579" i="1"/>
  <c r="M578" i="1"/>
  <c r="B578" i="1"/>
  <c r="M577" i="1"/>
  <c r="B577" i="1"/>
  <c r="M576" i="1"/>
  <c r="B576" i="1"/>
  <c r="M575" i="1"/>
  <c r="B575" i="1"/>
  <c r="M574" i="1"/>
  <c r="B574" i="1"/>
  <c r="M573" i="1"/>
  <c r="B573" i="1"/>
  <c r="M572" i="1"/>
  <c r="B572" i="1"/>
  <c r="M571" i="1"/>
  <c r="B571" i="1"/>
  <c r="M570" i="1"/>
  <c r="B570" i="1"/>
  <c r="M569" i="1"/>
  <c r="B569" i="1"/>
  <c r="M568" i="1"/>
  <c r="B568" i="1"/>
  <c r="M567" i="1"/>
  <c r="B567" i="1"/>
  <c r="M566" i="1"/>
  <c r="B566" i="1"/>
  <c r="M565" i="1"/>
  <c r="B565" i="1"/>
  <c r="M564" i="1"/>
  <c r="B564" i="1"/>
  <c r="M563" i="1"/>
  <c r="B563" i="1"/>
  <c r="M562" i="1"/>
  <c r="B562" i="1"/>
  <c r="M561" i="1"/>
  <c r="B561" i="1"/>
  <c r="M560" i="1"/>
  <c r="B560" i="1"/>
  <c r="M559" i="1"/>
  <c r="B559" i="1"/>
  <c r="M558" i="1"/>
  <c r="B558" i="1"/>
  <c r="M557" i="1"/>
  <c r="B557" i="1"/>
  <c r="M556" i="1"/>
  <c r="B556" i="1"/>
  <c r="M555" i="1"/>
  <c r="B555" i="1"/>
  <c r="M554" i="1"/>
  <c r="B554" i="1"/>
  <c r="M553" i="1"/>
  <c r="B553" i="1"/>
  <c r="M552" i="1"/>
  <c r="B552" i="1"/>
  <c r="M551" i="1"/>
  <c r="B551" i="1"/>
  <c r="M550" i="1"/>
  <c r="B550" i="1"/>
  <c r="M549" i="1"/>
  <c r="B549" i="1"/>
  <c r="M548" i="1"/>
  <c r="B548" i="1"/>
  <c r="M547" i="1"/>
  <c r="B547" i="1"/>
  <c r="M546" i="1"/>
  <c r="B546" i="1"/>
  <c r="M545" i="1"/>
  <c r="B545" i="1"/>
  <c r="M544" i="1"/>
  <c r="B544" i="1"/>
  <c r="M543" i="1"/>
  <c r="B543" i="1"/>
  <c r="M542" i="1"/>
  <c r="B542" i="1"/>
  <c r="M541" i="1"/>
  <c r="B541" i="1"/>
  <c r="M540" i="1"/>
  <c r="B540" i="1"/>
  <c r="M539" i="1"/>
  <c r="B539" i="1"/>
  <c r="M538" i="1"/>
  <c r="B538" i="1"/>
  <c r="M537" i="1"/>
  <c r="B537" i="1"/>
  <c r="M536" i="1"/>
  <c r="B536" i="1"/>
  <c r="M535" i="1"/>
  <c r="B535" i="1"/>
  <c r="M534" i="1"/>
  <c r="B534" i="1"/>
  <c r="M533" i="1"/>
  <c r="B533" i="1"/>
  <c r="M532" i="1"/>
  <c r="B532" i="1"/>
  <c r="M531" i="1"/>
  <c r="B531" i="1"/>
  <c r="M530" i="1"/>
  <c r="B530" i="1"/>
  <c r="M529" i="1"/>
  <c r="B529" i="1"/>
  <c r="M528" i="1"/>
  <c r="B528" i="1"/>
  <c r="M527" i="1"/>
  <c r="B527" i="1"/>
  <c r="M526" i="1"/>
  <c r="B526" i="1"/>
  <c r="M525" i="1"/>
  <c r="B525" i="1"/>
  <c r="M524" i="1"/>
  <c r="B524" i="1"/>
  <c r="M523" i="1"/>
  <c r="B523" i="1"/>
  <c r="M522" i="1"/>
  <c r="B522" i="1"/>
  <c r="M521" i="1"/>
  <c r="B521" i="1"/>
  <c r="M520" i="1"/>
  <c r="B520" i="1"/>
  <c r="M519" i="1"/>
  <c r="B519" i="1"/>
  <c r="M518" i="1"/>
  <c r="B518" i="1"/>
  <c r="M517" i="1"/>
  <c r="B517" i="1"/>
  <c r="M516" i="1"/>
  <c r="B516" i="1"/>
  <c r="M515" i="1"/>
  <c r="B515" i="1"/>
  <c r="M514" i="1"/>
  <c r="B514" i="1"/>
  <c r="M513" i="1"/>
  <c r="B513" i="1"/>
  <c r="M512" i="1"/>
  <c r="B512" i="1"/>
  <c r="M511" i="1"/>
  <c r="B511" i="1"/>
  <c r="M510" i="1"/>
  <c r="B510" i="1"/>
  <c r="M509" i="1"/>
  <c r="B509" i="1"/>
  <c r="M508" i="1"/>
  <c r="B508" i="1"/>
  <c r="M507" i="1"/>
  <c r="B507" i="1"/>
  <c r="M506" i="1"/>
  <c r="B506" i="1"/>
  <c r="M505" i="1"/>
  <c r="B505" i="1"/>
  <c r="M504" i="1"/>
  <c r="B504" i="1"/>
  <c r="M503" i="1"/>
  <c r="B503" i="1"/>
  <c r="M501" i="1"/>
  <c r="B501" i="1"/>
  <c r="M500" i="1"/>
  <c r="B500" i="1"/>
  <c r="M499" i="1"/>
  <c r="B499" i="1"/>
  <c r="M498" i="1"/>
  <c r="B498" i="1"/>
  <c r="M497" i="1"/>
  <c r="B497" i="1"/>
  <c r="M496" i="1"/>
  <c r="B496" i="1"/>
  <c r="M495" i="1"/>
  <c r="B495" i="1"/>
  <c r="M494" i="1"/>
  <c r="B494" i="1"/>
  <c r="M493" i="1"/>
  <c r="B493" i="1"/>
  <c r="M492" i="1"/>
  <c r="B492" i="1"/>
  <c r="M491" i="1"/>
  <c r="B491" i="1"/>
  <c r="M490" i="1"/>
  <c r="B490" i="1"/>
  <c r="M489" i="1"/>
  <c r="B489" i="1"/>
  <c r="M488" i="1"/>
  <c r="B488" i="1"/>
  <c r="M487" i="1"/>
  <c r="B487" i="1"/>
  <c r="M486" i="1"/>
  <c r="B486" i="1"/>
  <c r="M485" i="1"/>
  <c r="B485" i="1"/>
  <c r="M484" i="1"/>
  <c r="B484" i="1"/>
  <c r="M483" i="1"/>
  <c r="B483" i="1"/>
  <c r="M482" i="1"/>
  <c r="B482" i="1"/>
  <c r="M481" i="1"/>
  <c r="B481" i="1"/>
  <c r="M480" i="1"/>
  <c r="B480" i="1"/>
  <c r="M479" i="1"/>
  <c r="B479" i="1"/>
  <c r="M478" i="1"/>
  <c r="B478" i="1"/>
  <c r="M477" i="1"/>
  <c r="B477" i="1"/>
  <c r="M476" i="1"/>
  <c r="B476" i="1"/>
  <c r="M475" i="1"/>
  <c r="B475" i="1"/>
  <c r="M474" i="1"/>
  <c r="B474" i="1"/>
  <c r="M473" i="1"/>
  <c r="B473" i="1"/>
  <c r="M472" i="1"/>
  <c r="B472" i="1"/>
  <c r="M471" i="1"/>
  <c r="B471" i="1"/>
  <c r="M470" i="1"/>
  <c r="B470" i="1"/>
  <c r="M469" i="1"/>
  <c r="B469" i="1"/>
  <c r="M468" i="1"/>
  <c r="B468" i="1"/>
  <c r="M467" i="1"/>
  <c r="B467" i="1"/>
  <c r="M466" i="1"/>
  <c r="B466" i="1"/>
  <c r="M465" i="1"/>
  <c r="B465" i="1"/>
  <c r="M464" i="1"/>
  <c r="B464" i="1"/>
  <c r="M463" i="1"/>
  <c r="B463" i="1"/>
  <c r="M462" i="1"/>
  <c r="B462" i="1"/>
  <c r="M461" i="1"/>
  <c r="B461" i="1"/>
  <c r="M460" i="1"/>
  <c r="B460" i="1"/>
  <c r="M459" i="1"/>
  <c r="B459" i="1"/>
  <c r="M458" i="1"/>
  <c r="B458" i="1"/>
  <c r="M457" i="1"/>
  <c r="B457" i="1"/>
  <c r="M456" i="1"/>
  <c r="B456" i="1"/>
  <c r="M455" i="1"/>
  <c r="B455" i="1"/>
  <c r="M454" i="1"/>
  <c r="B454" i="1"/>
  <c r="M453" i="1"/>
  <c r="B453" i="1"/>
  <c r="M452" i="1"/>
  <c r="B452" i="1"/>
  <c r="M451" i="1"/>
  <c r="B451" i="1"/>
  <c r="M450" i="1"/>
  <c r="B450" i="1"/>
  <c r="M449" i="1"/>
  <c r="B449" i="1"/>
  <c r="M448" i="1"/>
  <c r="B448" i="1"/>
  <c r="M447" i="1"/>
  <c r="B447" i="1"/>
  <c r="M446" i="1"/>
  <c r="B446" i="1"/>
  <c r="M445" i="1"/>
  <c r="B445" i="1"/>
  <c r="M444" i="1"/>
  <c r="B444" i="1"/>
  <c r="M443" i="1"/>
  <c r="B443" i="1"/>
  <c r="M441" i="1"/>
  <c r="B441" i="1"/>
  <c r="M440" i="1"/>
  <c r="B440" i="1"/>
  <c r="M439" i="1"/>
  <c r="B439" i="1"/>
  <c r="M438" i="1"/>
  <c r="B438" i="1"/>
  <c r="M437" i="1"/>
  <c r="B437" i="1"/>
  <c r="M436" i="1"/>
  <c r="B436" i="1"/>
  <c r="M435" i="1"/>
  <c r="B435" i="1"/>
  <c r="M434" i="1"/>
  <c r="B434" i="1"/>
  <c r="M433" i="1"/>
  <c r="B433" i="1"/>
  <c r="M432" i="1"/>
  <c r="B432" i="1"/>
  <c r="M431" i="1"/>
  <c r="B431" i="1"/>
  <c r="M430" i="1"/>
  <c r="B430" i="1"/>
  <c r="M429" i="1"/>
  <c r="B429" i="1"/>
  <c r="M428" i="1"/>
  <c r="B428" i="1"/>
  <c r="M427" i="1"/>
  <c r="B427" i="1"/>
  <c r="M426" i="1"/>
  <c r="B426" i="1"/>
  <c r="M425" i="1"/>
  <c r="B425" i="1"/>
  <c r="M424" i="1"/>
  <c r="B424" i="1"/>
  <c r="M423" i="1"/>
  <c r="B423" i="1"/>
  <c r="M421" i="1"/>
  <c r="B421" i="1"/>
  <c r="M420" i="1"/>
  <c r="B420" i="1"/>
  <c r="M419" i="1"/>
  <c r="B419" i="1"/>
  <c r="M418" i="1"/>
  <c r="B418" i="1"/>
  <c r="M417" i="1"/>
  <c r="B417" i="1"/>
  <c r="M416" i="1"/>
  <c r="B416" i="1"/>
  <c r="M415" i="1"/>
  <c r="B415" i="1"/>
  <c r="M414" i="1"/>
  <c r="B414" i="1"/>
  <c r="M413" i="1"/>
  <c r="B413" i="1"/>
  <c r="M412" i="1"/>
  <c r="B412" i="1"/>
  <c r="M411" i="1"/>
  <c r="B411" i="1"/>
  <c r="M410" i="1"/>
  <c r="B410" i="1"/>
  <c r="M409" i="1"/>
  <c r="B409" i="1"/>
  <c r="M408" i="1"/>
  <c r="B408" i="1"/>
  <c r="M407" i="1"/>
  <c r="B407" i="1"/>
  <c r="M406" i="1"/>
  <c r="B406" i="1"/>
  <c r="M405" i="1"/>
  <c r="B405" i="1"/>
  <c r="M404" i="1"/>
  <c r="B404" i="1"/>
  <c r="M403" i="1"/>
  <c r="B403" i="1"/>
  <c r="M402" i="1"/>
  <c r="B402" i="1"/>
  <c r="M401" i="1"/>
  <c r="B401" i="1"/>
  <c r="M400" i="1"/>
  <c r="B400" i="1"/>
  <c r="M399" i="1"/>
  <c r="B399" i="1"/>
  <c r="M398" i="1"/>
  <c r="B398" i="1"/>
  <c r="M397" i="1"/>
  <c r="B397" i="1"/>
  <c r="M396" i="1"/>
  <c r="B396" i="1"/>
  <c r="M395" i="1"/>
  <c r="B395" i="1"/>
  <c r="M394" i="1"/>
  <c r="B394" i="1"/>
  <c r="M393" i="1"/>
  <c r="B393" i="1"/>
  <c r="M392" i="1"/>
  <c r="B392" i="1"/>
  <c r="M390" i="1"/>
  <c r="B390" i="1"/>
  <c r="M389" i="1"/>
  <c r="B389" i="1"/>
  <c r="M388" i="1"/>
  <c r="B388" i="1"/>
  <c r="M387" i="1"/>
  <c r="B387" i="1"/>
  <c r="M386" i="1"/>
  <c r="B386" i="1"/>
  <c r="M385" i="1"/>
  <c r="B385" i="1"/>
  <c r="M384" i="1"/>
  <c r="B384" i="1"/>
  <c r="M383" i="1"/>
  <c r="B383" i="1"/>
  <c r="M382" i="1"/>
  <c r="B382" i="1"/>
  <c r="M381" i="1"/>
  <c r="B381" i="1"/>
  <c r="M380" i="1"/>
  <c r="B380" i="1"/>
  <c r="M379" i="1"/>
  <c r="B379" i="1"/>
  <c r="M377" i="1"/>
  <c r="B377" i="1"/>
  <c r="M376" i="1"/>
  <c r="B376" i="1"/>
  <c r="M375" i="1"/>
  <c r="B375" i="1"/>
  <c r="M374" i="1"/>
  <c r="B374" i="1"/>
  <c r="M373" i="1"/>
  <c r="B373" i="1"/>
  <c r="M372" i="1"/>
  <c r="B372" i="1"/>
  <c r="M371" i="1"/>
  <c r="B371" i="1"/>
  <c r="M370" i="1"/>
  <c r="B370" i="1"/>
  <c r="M369" i="1"/>
  <c r="B369" i="1"/>
  <c r="M368" i="1"/>
  <c r="B368" i="1"/>
  <c r="M367" i="1"/>
  <c r="B367" i="1"/>
  <c r="M366" i="1"/>
  <c r="B366" i="1"/>
  <c r="M365" i="1"/>
  <c r="B365" i="1"/>
  <c r="M364" i="1"/>
  <c r="B364" i="1"/>
  <c r="M363" i="1"/>
  <c r="B363" i="1"/>
  <c r="M362" i="1"/>
  <c r="B362" i="1"/>
  <c r="M361" i="1"/>
  <c r="B361" i="1"/>
  <c r="M360" i="1"/>
  <c r="B360" i="1"/>
  <c r="M359" i="1"/>
  <c r="B359" i="1"/>
  <c r="M358" i="1"/>
  <c r="B358" i="1"/>
  <c r="M357" i="1"/>
  <c r="B357" i="1"/>
  <c r="M356" i="1"/>
  <c r="B356" i="1"/>
  <c r="M355" i="1"/>
  <c r="B355" i="1"/>
  <c r="M354" i="1"/>
  <c r="B354" i="1"/>
  <c r="M353" i="1"/>
  <c r="B353" i="1"/>
  <c r="M352" i="1"/>
  <c r="B352" i="1"/>
  <c r="M351" i="1"/>
  <c r="B351" i="1"/>
  <c r="M350" i="1"/>
  <c r="B350" i="1"/>
  <c r="M349" i="1"/>
  <c r="B349" i="1"/>
  <c r="M348" i="1"/>
  <c r="B348" i="1"/>
  <c r="M347" i="1"/>
  <c r="B347" i="1"/>
  <c r="M346" i="1"/>
  <c r="B346" i="1"/>
  <c r="M345" i="1"/>
  <c r="B345" i="1"/>
  <c r="M344" i="1"/>
  <c r="B344" i="1"/>
  <c r="M343" i="1"/>
  <c r="B343" i="1"/>
  <c r="M342" i="1"/>
  <c r="B342" i="1"/>
  <c r="M340" i="1"/>
  <c r="B340" i="1"/>
  <c r="M338" i="1"/>
  <c r="B338" i="1"/>
  <c r="M337" i="1"/>
  <c r="B337" i="1"/>
  <c r="M335" i="1"/>
  <c r="B335" i="1"/>
  <c r="M334" i="1"/>
  <c r="B334" i="1"/>
  <c r="M333" i="1"/>
  <c r="B333" i="1"/>
  <c r="M332" i="1"/>
  <c r="B332" i="1"/>
  <c r="M331" i="1"/>
  <c r="B331" i="1"/>
  <c r="M329" i="1"/>
  <c r="B329" i="1"/>
  <c r="M328" i="1"/>
  <c r="B328" i="1"/>
  <c r="M327" i="1"/>
  <c r="B327" i="1"/>
  <c r="M326" i="1"/>
  <c r="B326" i="1"/>
  <c r="M325" i="1"/>
  <c r="B325" i="1"/>
  <c r="M324" i="1"/>
  <c r="B324" i="1"/>
  <c r="M323" i="1"/>
  <c r="B323" i="1"/>
  <c r="M322" i="1"/>
  <c r="B322" i="1"/>
  <c r="M321" i="1"/>
  <c r="B321" i="1"/>
  <c r="M320" i="1"/>
  <c r="B320" i="1"/>
  <c r="M319" i="1"/>
  <c r="B319" i="1"/>
  <c r="M318" i="1"/>
  <c r="B318" i="1"/>
  <c r="M317" i="1"/>
  <c r="B317" i="1"/>
  <c r="M316" i="1"/>
  <c r="B316" i="1"/>
  <c r="M315" i="1"/>
  <c r="B315" i="1"/>
  <c r="M313" i="1"/>
  <c r="B313" i="1"/>
  <c r="M312" i="1"/>
  <c r="B312" i="1"/>
  <c r="M310" i="1"/>
  <c r="B310" i="1"/>
  <c r="M309" i="1"/>
  <c r="B309" i="1"/>
  <c r="M308" i="1"/>
  <c r="B308" i="1"/>
  <c r="M307" i="1"/>
  <c r="B307" i="1"/>
  <c r="M306" i="1"/>
  <c r="B306" i="1"/>
  <c r="M305" i="1"/>
  <c r="B305" i="1"/>
  <c r="M304" i="1"/>
  <c r="B304" i="1"/>
  <c r="M303" i="1"/>
  <c r="B303" i="1"/>
  <c r="M302" i="1"/>
  <c r="B302" i="1"/>
  <c r="M301" i="1"/>
  <c r="B301" i="1"/>
  <c r="M300" i="1"/>
  <c r="B300" i="1"/>
  <c r="M299" i="1"/>
  <c r="B299" i="1"/>
  <c r="M298" i="1"/>
  <c r="B298" i="1"/>
  <c r="M297" i="1"/>
  <c r="B297" i="1"/>
  <c r="M296" i="1"/>
  <c r="B296" i="1"/>
  <c r="M295" i="1"/>
  <c r="B295" i="1"/>
  <c r="M294" i="1"/>
  <c r="B294" i="1"/>
  <c r="M293" i="1"/>
  <c r="B293" i="1"/>
  <c r="M292" i="1"/>
  <c r="B292" i="1"/>
  <c r="M291" i="1"/>
  <c r="B291" i="1"/>
  <c r="M290" i="1"/>
  <c r="B290" i="1"/>
  <c r="M289" i="1"/>
  <c r="B289" i="1"/>
  <c r="M288" i="1"/>
  <c r="B288" i="1"/>
  <c r="M287" i="1"/>
  <c r="B287" i="1"/>
  <c r="M286" i="1"/>
  <c r="B286" i="1"/>
  <c r="M285" i="1"/>
  <c r="B285" i="1"/>
  <c r="M284" i="1"/>
  <c r="B284" i="1"/>
  <c r="M283" i="1"/>
  <c r="B283" i="1"/>
  <c r="M282" i="1"/>
  <c r="B282" i="1"/>
  <c r="M281" i="1"/>
  <c r="B281" i="1"/>
  <c r="M280" i="1"/>
  <c r="B280" i="1"/>
  <c r="M279" i="1"/>
  <c r="B279" i="1"/>
  <c r="M278" i="1"/>
  <c r="B278" i="1"/>
  <c r="M277" i="1"/>
  <c r="B277" i="1"/>
  <c r="M276" i="1"/>
  <c r="B276" i="1"/>
  <c r="M275" i="1"/>
  <c r="B275" i="1"/>
  <c r="M274" i="1"/>
  <c r="M273" i="1"/>
  <c r="B273" i="1"/>
  <c r="M272" i="1"/>
  <c r="B272" i="1"/>
  <c r="M271" i="1"/>
  <c r="B271" i="1"/>
  <c r="M270" i="1"/>
  <c r="B270" i="1"/>
  <c r="M269" i="1"/>
  <c r="B269" i="1"/>
  <c r="M268" i="1"/>
  <c r="B268" i="1"/>
  <c r="M267" i="1"/>
  <c r="B267" i="1"/>
  <c r="M266" i="1"/>
  <c r="B266" i="1"/>
  <c r="M265" i="1"/>
  <c r="B265" i="1"/>
  <c r="M264" i="1"/>
  <c r="B264" i="1"/>
  <c r="M263" i="1"/>
  <c r="B263" i="1"/>
  <c r="M262" i="1"/>
  <c r="B262" i="1"/>
  <c r="M261" i="1"/>
  <c r="B261" i="1"/>
  <c r="M260" i="1"/>
  <c r="B260" i="1"/>
  <c r="M259" i="1"/>
  <c r="B259" i="1"/>
  <c r="M258" i="1"/>
  <c r="B258" i="1"/>
  <c r="M257" i="1"/>
  <c r="B257" i="1"/>
  <c r="M256" i="1"/>
  <c r="B256" i="1"/>
  <c r="M255" i="1"/>
  <c r="B255" i="1"/>
  <c r="M254" i="1"/>
  <c r="B254" i="1"/>
  <c r="M253" i="1"/>
  <c r="B253" i="1"/>
  <c r="M252" i="1"/>
  <c r="B252" i="1"/>
  <c r="M251" i="1"/>
  <c r="B251" i="1"/>
  <c r="M250" i="1"/>
  <c r="B250" i="1"/>
  <c r="M249" i="1"/>
  <c r="B249" i="1"/>
  <c r="M248" i="1"/>
  <c r="B248" i="1"/>
  <c r="M247" i="1"/>
  <c r="B247" i="1"/>
  <c r="M246" i="1"/>
  <c r="B246" i="1"/>
  <c r="M244" i="1"/>
  <c r="B244" i="1"/>
  <c r="M243" i="1"/>
  <c r="B243" i="1"/>
  <c r="M242" i="1"/>
  <c r="B242" i="1"/>
  <c r="M241" i="1"/>
  <c r="B241" i="1"/>
  <c r="M240" i="1"/>
  <c r="B240" i="1"/>
  <c r="M239" i="1"/>
  <c r="B239" i="1"/>
  <c r="M238" i="1"/>
  <c r="B238" i="1"/>
  <c r="M237" i="1"/>
  <c r="B237" i="1"/>
  <c r="M236" i="1"/>
  <c r="B236" i="1"/>
  <c r="M235" i="1"/>
  <c r="B235" i="1"/>
  <c r="M234" i="1"/>
  <c r="B234" i="1"/>
  <c r="M233" i="1"/>
  <c r="B233" i="1"/>
  <c r="M232" i="1"/>
  <c r="B232" i="1"/>
  <c r="M231" i="1"/>
  <c r="B231" i="1"/>
  <c r="M230" i="1"/>
  <c r="B230" i="1"/>
  <c r="M229" i="1"/>
  <c r="B229" i="1"/>
  <c r="M228" i="1"/>
  <c r="B228" i="1"/>
  <c r="M227" i="1"/>
  <c r="B227" i="1"/>
  <c r="M226" i="1"/>
  <c r="B226" i="1"/>
  <c r="M225" i="1"/>
  <c r="B225" i="1"/>
  <c r="M224" i="1"/>
  <c r="B224" i="1"/>
  <c r="M223" i="1"/>
  <c r="B223" i="1"/>
  <c r="M222" i="1"/>
  <c r="B222" i="1"/>
  <c r="M221" i="1"/>
  <c r="B221" i="1"/>
  <c r="M220" i="1"/>
  <c r="B220" i="1"/>
  <c r="M219" i="1"/>
  <c r="B219" i="1"/>
  <c r="M218" i="1"/>
  <c r="B218" i="1"/>
  <c r="M217" i="1"/>
  <c r="B217" i="1"/>
  <c r="M216" i="1"/>
  <c r="B216" i="1"/>
  <c r="M215" i="1"/>
  <c r="B215" i="1"/>
  <c r="M214" i="1"/>
  <c r="B214" i="1"/>
  <c r="M213" i="1"/>
  <c r="B213" i="1"/>
  <c r="M212" i="1"/>
  <c r="B212" i="1"/>
  <c r="M211" i="1"/>
  <c r="B211" i="1"/>
  <c r="M210" i="1"/>
  <c r="B210" i="1"/>
  <c r="M209" i="1"/>
  <c r="B209" i="1"/>
  <c r="M208" i="1"/>
  <c r="B208" i="1"/>
  <c r="M207" i="1"/>
  <c r="B207" i="1"/>
  <c r="M205" i="1"/>
  <c r="B205" i="1"/>
  <c r="M204" i="1"/>
  <c r="B204" i="1"/>
  <c r="M202" i="1"/>
  <c r="B202" i="1"/>
  <c r="M201" i="1"/>
  <c r="B201" i="1"/>
  <c r="M200" i="1"/>
  <c r="B200" i="1"/>
  <c r="M199" i="1"/>
  <c r="B199" i="1"/>
  <c r="M198" i="1"/>
  <c r="B198" i="1"/>
  <c r="M197" i="1"/>
  <c r="B197" i="1"/>
  <c r="M196" i="1"/>
  <c r="B196" i="1"/>
  <c r="M195" i="1"/>
  <c r="B195" i="1"/>
  <c r="M194" i="1"/>
  <c r="B194" i="1"/>
  <c r="M193" i="1"/>
  <c r="B193" i="1"/>
  <c r="M192" i="1"/>
  <c r="B192" i="1"/>
  <c r="M191" i="1"/>
  <c r="B191" i="1"/>
  <c r="M190" i="1"/>
  <c r="B190" i="1"/>
  <c r="M189" i="1"/>
  <c r="B189" i="1"/>
  <c r="M188" i="1"/>
  <c r="B188" i="1"/>
  <c r="M187" i="1"/>
  <c r="B187" i="1"/>
  <c r="M186" i="1"/>
  <c r="B186" i="1"/>
  <c r="M185" i="1"/>
  <c r="B185" i="1"/>
  <c r="M184" i="1"/>
  <c r="B184" i="1"/>
  <c r="M183" i="1"/>
  <c r="B183" i="1"/>
  <c r="M182" i="1"/>
  <c r="B182" i="1"/>
  <c r="M181" i="1"/>
  <c r="B181" i="1"/>
  <c r="M180" i="1"/>
  <c r="B180" i="1"/>
  <c r="M179" i="1"/>
  <c r="B179" i="1"/>
  <c r="M178" i="1"/>
  <c r="B178" i="1"/>
  <c r="M177" i="1"/>
  <c r="B177" i="1"/>
  <c r="M176" i="1"/>
  <c r="B176" i="1"/>
  <c r="M175" i="1"/>
  <c r="B175" i="1"/>
  <c r="M174" i="1"/>
  <c r="B174" i="1"/>
  <c r="M173" i="1"/>
  <c r="B173" i="1"/>
  <c r="M172" i="1"/>
  <c r="B172" i="1"/>
  <c r="M171" i="1"/>
  <c r="B171" i="1"/>
  <c r="M170" i="1"/>
  <c r="B170" i="1"/>
  <c r="M169" i="1"/>
  <c r="B169" i="1"/>
  <c r="M168" i="1"/>
  <c r="B168" i="1"/>
  <c r="M167" i="1"/>
  <c r="B167" i="1"/>
  <c r="M166" i="1"/>
  <c r="B166" i="1"/>
  <c r="M165" i="1"/>
  <c r="B165" i="1"/>
  <c r="M164" i="1"/>
  <c r="B164" i="1"/>
  <c r="M163" i="1"/>
  <c r="B163" i="1"/>
  <c r="M162" i="1"/>
  <c r="B162" i="1"/>
  <c r="M161" i="1"/>
  <c r="B161" i="1"/>
  <c r="M160" i="1"/>
  <c r="B160" i="1"/>
  <c r="M159" i="1"/>
  <c r="B159" i="1"/>
  <c r="M158" i="1"/>
  <c r="B158" i="1"/>
  <c r="M157" i="1"/>
  <c r="B157" i="1"/>
  <c r="M156" i="1"/>
  <c r="B156" i="1"/>
  <c r="M154" i="1"/>
  <c r="B154" i="1"/>
  <c r="M153" i="1"/>
  <c r="B153" i="1"/>
  <c r="M152" i="1"/>
  <c r="B152" i="1"/>
  <c r="M151" i="1"/>
  <c r="B151" i="1"/>
  <c r="M150" i="1"/>
  <c r="B150" i="1"/>
  <c r="M149" i="1"/>
  <c r="B149" i="1"/>
  <c r="M148" i="1"/>
  <c r="B148" i="1"/>
  <c r="M147" i="1"/>
  <c r="B147" i="1"/>
  <c r="M146" i="1"/>
  <c r="B146" i="1"/>
  <c r="M145" i="1"/>
  <c r="B145" i="1"/>
  <c r="M144" i="1"/>
  <c r="B144" i="1"/>
  <c r="M143" i="1"/>
  <c r="B143" i="1"/>
  <c r="M142" i="1"/>
  <c r="B142" i="1"/>
  <c r="M141" i="1"/>
  <c r="B141" i="1"/>
  <c r="M140" i="1"/>
  <c r="B140" i="1"/>
  <c r="M139" i="1"/>
  <c r="B139" i="1"/>
  <c r="M138" i="1"/>
  <c r="B138" i="1"/>
  <c r="M137" i="1"/>
  <c r="B137" i="1"/>
  <c r="M136" i="1"/>
  <c r="B136" i="1"/>
  <c r="M135" i="1"/>
  <c r="B135" i="1"/>
  <c r="M134" i="1"/>
  <c r="B134" i="1"/>
  <c r="M133" i="1"/>
  <c r="B133" i="1"/>
  <c r="M132" i="1"/>
  <c r="B132" i="1"/>
  <c r="M131" i="1"/>
  <c r="B131" i="1"/>
  <c r="M130" i="1"/>
  <c r="B130" i="1"/>
  <c r="M129" i="1"/>
  <c r="B129" i="1"/>
  <c r="M128" i="1"/>
  <c r="B128" i="1"/>
  <c r="M127" i="1"/>
  <c r="B127" i="1"/>
  <c r="M126" i="1"/>
  <c r="B126" i="1"/>
  <c r="M125" i="1"/>
  <c r="B125" i="1"/>
  <c r="M124" i="1"/>
  <c r="B124" i="1"/>
  <c r="M123" i="1"/>
  <c r="B123" i="1"/>
  <c r="M122" i="1"/>
  <c r="B122" i="1"/>
  <c r="M121" i="1"/>
  <c r="B121" i="1"/>
  <c r="M120" i="1"/>
  <c r="B120" i="1"/>
  <c r="M119" i="1"/>
  <c r="B119" i="1"/>
  <c r="M118" i="1"/>
  <c r="B118" i="1"/>
  <c r="M117" i="1"/>
  <c r="B117" i="1"/>
  <c r="M116" i="1"/>
  <c r="B116" i="1"/>
  <c r="M115" i="1"/>
  <c r="B115" i="1"/>
  <c r="M114" i="1"/>
  <c r="B114" i="1"/>
  <c r="M113" i="1"/>
  <c r="B113" i="1"/>
  <c r="M112" i="1"/>
  <c r="B112" i="1"/>
  <c r="M111" i="1"/>
  <c r="B111" i="1"/>
  <c r="M110" i="1"/>
  <c r="B110" i="1"/>
  <c r="M109" i="1"/>
  <c r="B109" i="1"/>
  <c r="M108" i="1"/>
  <c r="B108" i="1"/>
  <c r="M107" i="1"/>
  <c r="B107" i="1"/>
  <c r="M106" i="1"/>
  <c r="B106" i="1"/>
  <c r="M105" i="1"/>
  <c r="B105" i="1"/>
  <c r="M104" i="1"/>
  <c r="B104" i="1"/>
  <c r="M103" i="1"/>
  <c r="B103" i="1"/>
  <c r="M102" i="1"/>
  <c r="B102" i="1"/>
  <c r="M101" i="1"/>
  <c r="B101" i="1"/>
  <c r="M100" i="1"/>
  <c r="B100" i="1"/>
  <c r="M99" i="1"/>
  <c r="B99" i="1"/>
  <c r="M98" i="1"/>
  <c r="B98" i="1"/>
  <c r="M97" i="1"/>
  <c r="B97" i="1"/>
  <c r="M96" i="1"/>
  <c r="B96" i="1"/>
  <c r="M95" i="1"/>
  <c r="B95" i="1"/>
  <c r="M94" i="1"/>
  <c r="B94" i="1"/>
  <c r="M93" i="1"/>
  <c r="B93" i="1"/>
  <c r="M92" i="1"/>
  <c r="B92" i="1"/>
  <c r="M91" i="1"/>
  <c r="B91" i="1"/>
  <c r="M90" i="1"/>
  <c r="B90" i="1"/>
  <c r="M89" i="1"/>
  <c r="B89" i="1"/>
  <c r="M88" i="1"/>
  <c r="B88" i="1"/>
  <c r="M87" i="1"/>
  <c r="B87" i="1"/>
  <c r="M86" i="1"/>
  <c r="B86" i="1"/>
  <c r="M85" i="1"/>
  <c r="B85" i="1"/>
  <c r="M84" i="1"/>
  <c r="B84" i="1"/>
  <c r="M83" i="1"/>
  <c r="B83" i="1"/>
  <c r="M82" i="1"/>
  <c r="B82" i="1"/>
  <c r="M81" i="1"/>
  <c r="B81" i="1"/>
  <c r="M80" i="1"/>
  <c r="B80" i="1"/>
  <c r="M79" i="1"/>
  <c r="B79" i="1"/>
  <c r="M78" i="1"/>
  <c r="B78" i="1"/>
  <c r="M77" i="1"/>
  <c r="B77" i="1"/>
  <c r="M76" i="1"/>
  <c r="B76" i="1"/>
  <c r="M75" i="1"/>
  <c r="B75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I46" i="1" s="1"/>
  <c r="I47" i="1"/>
</calcChain>
</file>

<file path=xl/sharedStrings.xml><?xml version="1.0" encoding="utf-8"?>
<sst xmlns="http://schemas.openxmlformats.org/spreadsheetml/2006/main" count="10234" uniqueCount="3765">
  <si>
    <t>Компания "СеДеК"</t>
  </si>
  <si>
    <t>Крупный опт: 142006, Московская обл., г. Домодедово, мкр-н Востряково, ул. Парковая, 19 (график работы оптового склада: 9:00 – 18:00, будни)</t>
  </si>
  <si>
    <t>Телефоны: Региональные менеджеры: (495) 788-93-90 доб.118, 143,  141, 131;  / Менеджеры по работе с торговыми сетями: (495) 788-93-90 доб. 139, 121, 133 / Коммерческий директор: (495) 788-93-90 доб. 108</t>
  </si>
  <si>
    <t>Мелкий опт: г. Москва, ул. Орджоникидзе, 14 (ст.м.Ленинский проспект). Тел: (495)777-34-93</t>
  </si>
  <si>
    <t>www.SeDeK.ru</t>
  </si>
  <si>
    <t>shop@sedek.ru</t>
  </si>
  <si>
    <t>МИНИМАЛЬНАЯ СУММА ЗАКАЗА:</t>
  </si>
  <si>
    <t>20000руб - при отправке заказа в регион транспортной компанией</t>
  </si>
  <si>
    <t>Семена в цветном и белом пакете поставляются упаковками по 10 пакетов</t>
  </si>
  <si>
    <t>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</t>
  </si>
  <si>
    <t>По истечении указанного срока заказ будет автоматически аннулирован!</t>
  </si>
  <si>
    <t>ПРАВИЛА ОФОРМЛЕНИЯ ЗАКАЗА С ПОМОЩЬЮ ТЕКУЩЕГО ПРАЙС-ЛИСТА</t>
  </si>
  <si>
    <t>В данном прайс-листе представлены товары, которые находятся в наличии на складе компании на дату, указанную в шапке прайс-листа.</t>
  </si>
  <si>
    <t>Просим оформлять заказ по прайс-листу, скаченному с сайта в день оформления заказа (это гарантирует наличие заказанного товара на складе)</t>
  </si>
  <si>
    <t>В столбец ЗАКАЗ внесите необходимое количество пакетов семян по каждой выбранной позиции (Семена поставляются упаковками по 10 пакетов)</t>
  </si>
  <si>
    <t>Просим вносить информацию только в столбец заказ, не изменяя при этом содержание других столбцов (в противном случае срок исполнения вашего заказа увеличивается)</t>
  </si>
  <si>
    <t>Сохраните и отправьте заказ менеджеру, с которым вы работаете. Электронную почту и добавочный телефон менеджера, работающего с вашим регионом, вы можете узнать на нашем сайте.</t>
  </si>
  <si>
    <t>После обработки заказа вам будет выставлен счет</t>
  </si>
  <si>
    <t>ДОСТАВКА ЗАКАЗОВ ТРАНСПОРТНЫМИ КОМПАНИЯМИ</t>
  </si>
  <si>
    <t>Доставка оптовых заказов производится транспортными компаниями за счет покупателя.</t>
  </si>
  <si>
    <t>Рекомендуемые транспортные компании: «Желдорэкспедиция», «ПЭК», «Деловые линии», «ЖелдорАльянс», «Автотрейдинг», «Кит», «Аэрокарго».</t>
  </si>
  <si>
    <t>Близкое расположение данных компаний к складу  «СеДеК» значительно снижает временные затраты на доставку и предотвращает риск задержки Вашего заказа.</t>
  </si>
  <si>
    <t>СИСТЕМА СКИДОК</t>
  </si>
  <si>
    <t>Актуальная система скидок предавлена на сайте компании: http://www.sedek.ru/price/</t>
  </si>
  <si>
    <t>При подтверждении клиентом объема закупок в течение сезона скидка распространяется на следующий год.</t>
  </si>
  <si>
    <t>Скидки являются накопительными и действуют в течение всего сезона.</t>
  </si>
  <si>
    <t>БЛАНК ЗАКАЗА (заполняйте, если делаете заказ впервые)</t>
  </si>
  <si>
    <t>Дата оформления заказа</t>
  </si>
  <si>
    <t>Клиент (Юр.лицо, ЧП, ИП, Физ. лицо):</t>
  </si>
  <si>
    <t>Банковские реквизиты, ИНН, КПП:</t>
  </si>
  <si>
    <t>Полный адрес:</t>
  </si>
  <si>
    <t>Телефон:</t>
  </si>
  <si>
    <t>Адрес электронной почты:</t>
  </si>
  <si>
    <t>Контактное лицо:</t>
  </si>
  <si>
    <t>Наименование банка</t>
  </si>
  <si>
    <t>Расчетный счет</t>
  </si>
  <si>
    <t>Корр. счет</t>
  </si>
  <si>
    <t>БИК</t>
  </si>
  <si>
    <t>Карантинный сертификат (да/нет):</t>
  </si>
  <si>
    <t>Фитосанитарный сертификат (да/нет)</t>
  </si>
  <si>
    <t>Способ получения товара</t>
  </si>
  <si>
    <t>(самовывоз/транспортная компания)</t>
  </si>
  <si>
    <t>Название транспортной компании:</t>
  </si>
  <si>
    <t>Способ оплаты (наличный / безналичный):</t>
  </si>
  <si>
    <t>ИТОГО (руб)</t>
  </si>
  <si>
    <t>ИТОГО (шт)</t>
  </si>
  <si>
    <t>Прайс-лист от 04.03.25 на пакетированные семена овощных, ягодных, цветочных культур</t>
  </si>
  <si>
    <t>® - сорта и гибриды, запатентованные компанией СеДеК; ДУ - серия Даёшь урожай, УГ - серия Урожайная грядка;</t>
  </si>
  <si>
    <t>Евро - цветной пакет, МФ - белый пакет;</t>
  </si>
  <si>
    <t>ПУ-пленочные укрытия; ОГ-открытый грунт, ЗГ-закрытый грунт, тепл-теплицы; парн-плёночные парники; дет-детерминантный (низкорослый); индет-индетерминантный (высокорослый); ПК-партенокарпический; ПО-пчелоопыляемый</t>
  </si>
  <si>
    <t>Код</t>
  </si>
  <si>
    <t>Фото</t>
  </si>
  <si>
    <t>Новинка</t>
  </si>
  <si>
    <t>Реклама</t>
  </si>
  <si>
    <t>Фирменная серия</t>
  </si>
  <si>
    <t>Название культуры и сорта/гибрида</t>
  </si>
  <si>
    <t>Вес (г/шт.)</t>
  </si>
  <si>
    <t>Единица фасовки</t>
  </si>
  <si>
    <t>Тип упа- ковки</t>
  </si>
  <si>
    <t>Кол-во пакетов в коробке (шт)</t>
  </si>
  <si>
    <t>Цена (руб)</t>
  </si>
  <si>
    <t>ЗАКАЗ (шт. пакетов)</t>
  </si>
  <si>
    <t>Сумма (руб)</t>
  </si>
  <si>
    <t>Штрихкод</t>
  </si>
  <si>
    <t>ОСНОВНЫЕ</t>
  </si>
  <si>
    <t>ПРОДУКЦИЯ</t>
  </si>
  <si>
    <t>РЕКЛАМНАЯ ПРОДУКЦИЯ</t>
  </si>
  <si>
    <t>Каталог Для профессионального рынка (А4, 66 стр, 20шт/уп)</t>
  </si>
  <si>
    <t>I0000015564</t>
  </si>
  <si>
    <t>Каталог семян овощей (А4, 132 стр, 10шт/уп, max 100 шт)</t>
  </si>
  <si>
    <t>I0000015684</t>
  </si>
  <si>
    <t>Каталог Хиты продаж</t>
  </si>
  <si>
    <t>I0000015781</t>
  </si>
  <si>
    <t>Каталог цветы</t>
  </si>
  <si>
    <t>I0000015503</t>
  </si>
  <si>
    <t>Плакат Даёшь Урожай</t>
  </si>
  <si>
    <t>I0000016269</t>
  </si>
  <si>
    <t>Плакат Капуста белокачанная</t>
  </si>
  <si>
    <t>I0000015501</t>
  </si>
  <si>
    <t>Плакат Новая серия элитный сортов Петунии</t>
  </si>
  <si>
    <t>I0000015502</t>
  </si>
  <si>
    <t>Плакат Новая серия элитных сортов Виолы</t>
  </si>
  <si>
    <t>I0000016198</t>
  </si>
  <si>
    <t>Плакат Новинка сезона перцы " Черрико"</t>
  </si>
  <si>
    <t>I0000016197</t>
  </si>
  <si>
    <t>Плакат Новинка сезона томаты " Самчеррито"</t>
  </si>
  <si>
    <t>I0000016196</t>
  </si>
  <si>
    <t>Плакат Новинка сезона томаты "Самкон"</t>
  </si>
  <si>
    <t>I0000016267</t>
  </si>
  <si>
    <t>Плакат Огурцы  корнишоны</t>
  </si>
  <si>
    <t>I0000016268</t>
  </si>
  <si>
    <t>Плакат Огурцы  с пучковой завязью</t>
  </si>
  <si>
    <t>I0000016265</t>
  </si>
  <si>
    <t>Плакат Огурцы "Аллигаторы"</t>
  </si>
  <si>
    <t>I0000016270</t>
  </si>
  <si>
    <t>Плакат супер-острые перцы "Огнедышащий дракон"</t>
  </si>
  <si>
    <t>I0000016266</t>
  </si>
  <si>
    <t>Плакат Чудеса на грядке</t>
  </si>
  <si>
    <t>СЕРИЯ ДАЁШЬ УРОЖАЙ</t>
  </si>
  <si>
    <t>I0000014895</t>
  </si>
  <si>
    <t>арбуз Шуга Бейби ДУ (ран.спелый, ОГ/ПУ, плод до 3-5 кг., мякоть кр-малиновая,зернистая,оч.сладкая, назн.универс.). Евро, 1</t>
  </si>
  <si>
    <t>г</t>
  </si>
  <si>
    <t>Евро</t>
  </si>
  <si>
    <t>I0000012660</t>
  </si>
  <si>
    <t>баклажан Алмаз ДУ (цилиндрич, темно-фиолет). Евро, 0,3</t>
  </si>
  <si>
    <t>I0000012661</t>
  </si>
  <si>
    <t>баклажан Бычье Сердце F1 ДУ (ХИТ! округ-овальный, темно-фиолет). Евро, 0,2</t>
  </si>
  <si>
    <t>I0000014898</t>
  </si>
  <si>
    <t>баклажан Длинный Фиолетовый ДУ (ХИТ! удлин-цилиндрич, темно-фиолет). Евро, 0,3</t>
  </si>
  <si>
    <t>I0000014899</t>
  </si>
  <si>
    <t>горох Александра® ДУ (сахарный, бобы 6-8 см, 7-8 горошин, без пергам. слоя). Евро, 5</t>
  </si>
  <si>
    <t>I0000014902</t>
  </si>
  <si>
    <t>горох Пионер ДУ  (очень ранний, сахарный, бобы 7-9 см, 6-8 горошин, урожайный).. Евро, 6</t>
  </si>
  <si>
    <t>I0000014903</t>
  </si>
  <si>
    <t>Дайкон Миноваси ДУ  (скороспел, 0,6-2,5 кг, устойч. к цветушности).. Евро, 1</t>
  </si>
  <si>
    <t>I0000014904</t>
  </si>
  <si>
    <t>Кабачок Белоплодные 13 ДУ (цилиндрич, белый, раннеспелый).. Евро, 2</t>
  </si>
  <si>
    <t>I0000014905</t>
  </si>
  <si>
    <t>кабачок Черный красавец ДУ (цилиндрич, темно-зеленый, высокоурожайн).. Евро, 2</t>
  </si>
  <si>
    <t>I0000013070</t>
  </si>
  <si>
    <t>капуста Вьюга (Б/К) ДУ(поздн.спел.,окр.,до 3 кг). Евро, 0,3</t>
  </si>
  <si>
    <t>I0000012665</t>
  </si>
  <si>
    <t>капуста Гном (БРОК) ДУ(ср.спел.,окр.-овал., 0,4-0,5 кг). Евро, 0,3</t>
  </si>
  <si>
    <t>I0000013071</t>
  </si>
  <si>
    <t>капуста Слава 1305 (Б/К) ДУ(ср.спел.,окр., 2,4-4,5 кг). Евро, 0,5</t>
  </si>
  <si>
    <t>I0000012670</t>
  </si>
  <si>
    <t>капуста Сноуболл 123 (ЦВ) ДУ(ср.ран.,окр.-плоск., 0,5-1 кг). Евро, 0,3</t>
  </si>
  <si>
    <t>I0000014928</t>
  </si>
  <si>
    <t>кориандр Кинза-дза ДУ (ср.спел.,св.-зелен.,сильн.аромат, 40-50 см.). Евро, 2</t>
  </si>
  <si>
    <t>I0000014927</t>
  </si>
  <si>
    <t>кориандр Король Рынка ДУ (ран.спел.,зелен.,сильн.прян.аромат, 40-50 см.). Евро, 2</t>
  </si>
  <si>
    <t>I0000012673</t>
  </si>
  <si>
    <t>лук Восторг (репчатый на перо и репку) ДУ(ср.поздн., окр.,бронз../бел.,остр.,150-250 г.). Евро, 1</t>
  </si>
  <si>
    <t>I0000014908</t>
  </si>
  <si>
    <t>лук Сенатор (репч.) ДУ (ср.поздн.,окр., коричн./бел.,полуостр.,150-200 г.). Евро, 1</t>
  </si>
  <si>
    <t>I0000012675</t>
  </si>
  <si>
    <t>лук Элефант МС (ПОР) ДУ(ср.ран.,слабоостр.,65-85 см.). Евро, 1</t>
  </si>
  <si>
    <t>I0000014911</t>
  </si>
  <si>
    <t>морковь Внучка ДУ(ран.спел., окр.,оранж.,3-5 см.,40-50 г.). Евро, 2</t>
  </si>
  <si>
    <t>I0000014912</t>
  </si>
  <si>
    <t>морковь Китайская Красавица® ДУ(ср.спел.,конич.,оранж.-красн.,18-20 см.,120-150 г.). Евро, 2</t>
  </si>
  <si>
    <t>I0000012678</t>
  </si>
  <si>
    <t>морковь Королева Осени ДУ(поздн.спел.,конич.с заостр.конч.,оранж.-красн., 20-25см.,60-180 г.). Евро, 2</t>
  </si>
  <si>
    <t>I0000013075</t>
  </si>
  <si>
    <t>морковь Лосиноостровская 13 ДУ(ср.спел.,конич.с заостр.кончик.,оранж.,до 15 см.,65-155 г.). Евро, 2</t>
  </si>
  <si>
    <t>I0000012679</t>
  </si>
  <si>
    <t>морковь Нантская 4 ДУ(ср.спел.,цилиндрич.,тупоконечн.,оранж.,14-16 см.,95-160 г.). Евро, 2</t>
  </si>
  <si>
    <t>I0000013076</t>
  </si>
  <si>
    <t>морковь Шантанэ  №5 ДУ(ср.спел.,конич.с туп.конч.,оранж., 15-18 см.,150-200 г.). Евро, 1</t>
  </si>
  <si>
    <t>I0000012682</t>
  </si>
  <si>
    <t>огурец Засолочный о/г  ДУ (ранний, ПО, ОГ, 10-11см, 100-120г, стабильн.урож, товарн, засолочн.). Евро, 0,5</t>
  </si>
  <si>
    <t>I0000012683</t>
  </si>
  <si>
    <t>огурец Конкурент  з/г ДУ (скороспел, ПО, ОГ, 9-12см, 70-100г, 3,1-5кг/кв.м, для повтор.посев, засола и консерв.). Евро, 0,5</t>
  </si>
  <si>
    <t>I0000014917</t>
  </si>
  <si>
    <t>огурец Малыш о/г ДУ (скороспел, ПО, ОГ, 6-8см, 80-90г, высокоурож, товарн.).. Евро, 0,3</t>
  </si>
  <si>
    <t>I0000014918</t>
  </si>
  <si>
    <t>огурец Надёжный з/г ДУ (ранний, ПО, ОГ, 10-12см, 2,5-3,9кг/кв.м, вкусн, стаб.урож в любое лето, универс.). Евро, 0,5</t>
  </si>
  <si>
    <t>I0000014916</t>
  </si>
  <si>
    <t>огурец Патриарх F1 ДУ (ПО, ОГ: 4,6кг/кв.м, тепл: 10,4кг/кв.м, пучковый, 8-10см, без горечи, интенс.плодонош, консервн).. Евро, 0,2</t>
  </si>
  <si>
    <t>I0000014919</t>
  </si>
  <si>
    <t>огурец Престол F1 з/г  ДУ  (ПО, ОГ, 10-12см, 80-100г, крепкий, хрустящ, плодон.до холодов). Евро, 0,2</t>
  </si>
  <si>
    <t>I0000012685</t>
  </si>
  <si>
    <t>патиссон Зонтик ДУ (ран.спел.,чашевидн.,колокольчат.,св.зелен.,бел./бел., 800-1100 г.). Евро, 1</t>
  </si>
  <si>
    <t>I0000012686</t>
  </si>
  <si>
    <t>перец Витязь F1 (сл.) ДУ  (сладк;ранний, ОГ, ПУ,  40-50 см, конycoвид, красные, 75-100 (до 200) г, толстостен, ур. 7-7,2 кг/кв.м). Евро, 0,2</t>
  </si>
  <si>
    <t>I0000013080</t>
  </si>
  <si>
    <t>перец Калифорнийское Чудо (сл.) ДУ (сладк; ОГ,ПУ, 50-65 см, кубовид, темно-красн, 80-130 г, толстостен). Евро, 0,2</t>
  </si>
  <si>
    <t>I0000013082</t>
  </si>
  <si>
    <t>перец Подарок Молдовы (сл.) ДУ (сладк; ОГ, ПУ, 35-45 см, конусовид, темно-красн, 50-70 г, толстостен, ур. 4-5,2 кг/кв.м). Евро, 0,2</t>
  </si>
  <si>
    <t>I0000013084</t>
  </si>
  <si>
    <t>петрушка Сахарная (корневая ) ДУ(скороспел.,конич.,сер.-бел./бел.,20-30 см, 60-70 г.). Евро, 2</t>
  </si>
  <si>
    <t>I0000014921</t>
  </si>
  <si>
    <t>пряность Горчица Волнушка (лист) ДУ(скоросп.,однолетн., овал.,курчяв.,употр.в св.виде). Евро, 1</t>
  </si>
  <si>
    <t>I0000012714</t>
  </si>
  <si>
    <t>редис Анжелика ДУ(ран.спел., ОГ/ЗГ,удл.-цилиндр.,ярк.-красн.с бел.конч./бел.,сл.остр., 18-21 г.). Евро, 2</t>
  </si>
  <si>
    <t>I0000013085</t>
  </si>
  <si>
    <t>редис Жара ДУ (ран.спел., ОГ/ЗГ,окр.,малин.-красн./бел.-роз.,сл.остр., 15-27 г.). Евро, 3</t>
  </si>
  <si>
    <t>I0000013086</t>
  </si>
  <si>
    <t>редис Заря ДУ(ран.спел., ОГ/ЗГ,окр.,малин.-красн./бел.,остр., 10-23 г.). Евро, 3</t>
  </si>
  <si>
    <t>I0000012715</t>
  </si>
  <si>
    <t>редис Краса ДУ(ран.спел., ОГ/ЗГ,окр.,нас.красн./бел.,сл.остр., 17-20 г.). Евро, 2</t>
  </si>
  <si>
    <t>I0000013087</t>
  </si>
  <si>
    <t>редис Красный с б/к ДУ(ср.спел., ОГ,окр.,красн.с бел.конч./бел.-роз..,сл.остр., 18-20 г.). Евро, 3</t>
  </si>
  <si>
    <t>I0000013089</t>
  </si>
  <si>
    <t>репа Петровская 1 ДУ(ср.ран.,плоск.-окр.,желт./желт.,60-150 г.). Евро, 1</t>
  </si>
  <si>
    <t>I0000012717</t>
  </si>
  <si>
    <t>салат Витаминный (листовой) ДУ(ср.спел.,ОГ,продолг.,крупн.,св.-зелен.,изум.вкус.,200-300 г.). Евро, 0,5</t>
  </si>
  <si>
    <t>I0000014923</t>
  </si>
  <si>
    <t>салат Изумрудный (листовой) ДУ(ср.спел.,ОГ,ср.толщ.,т.-зелен.,маслян.,60-70 г.). Евро, 0,5</t>
  </si>
  <si>
    <t>I0000012720</t>
  </si>
  <si>
    <t>свёкла Дачница (столовая) ДУ(ср.спел.,окр., борд./т.-красн., 170-350 г.). Евро, 3</t>
  </si>
  <si>
    <t>I0000013092</t>
  </si>
  <si>
    <t>свёкла Детройт (столовая) ДУ(ран.спел.,окр., борд./т.-красн., 110-200 г.). Евро, 3</t>
  </si>
  <si>
    <t>I0000013093</t>
  </si>
  <si>
    <t>свёкла Египетская Плоская (столовая) ДУ(ран.спел.,плоскокр., т.-красн./красн.-фиол., 300-500 г.). Евро, 3</t>
  </si>
  <si>
    <t>I0000013097</t>
  </si>
  <si>
    <t>укроп Грибовский ДУ(ран.спел., крупн., 18-30 см .,сильнорассеч.,кр.разм.,т.-зелен.,ароматн.). Евро, 2</t>
  </si>
  <si>
    <t>I0000012728</t>
  </si>
  <si>
    <t>укроп Душистый букет ДУ(ср.спел., мощн.,сильнооблиств., 30-40 см .,кр.разм.,зелен.,оч.ароматн.). Евро, 2</t>
  </si>
  <si>
    <t>I0000014929</t>
  </si>
  <si>
    <t>цветок Агератум Голубая сказка (мексиканский, сиренево-голубой) ДУ. Евро, 0,1</t>
  </si>
  <si>
    <t>I0000014930</t>
  </si>
  <si>
    <t>цветок Агератум Жиголо (мексиканский, розовый) ДУ. Евро, 0,1</t>
  </si>
  <si>
    <t>I0000015126</t>
  </si>
  <si>
    <t>цветок Амарант Танец огня (хвостатый, соцветия-метелки малиновые или темно-красные) ДУ. Евро, 0,1</t>
  </si>
  <si>
    <t>I0000014932</t>
  </si>
  <si>
    <t>цветок Астра Австрийское перо (китайская, смесь цветов) ДУ. Евро, 0,2</t>
  </si>
  <si>
    <t>I0000014934</t>
  </si>
  <si>
    <t>цветок Астра Варенька (китайская, помпонная, кроваво-бордовая) ДУ. Евро, 0,2</t>
  </si>
  <si>
    <t>I0000014936</t>
  </si>
  <si>
    <t>цветок Астра Космический дождь (китайская, страусово перо, смесь цветов) ДУ. Евро, 0,2</t>
  </si>
  <si>
    <t>I0000014937</t>
  </si>
  <si>
    <t>цветок Астра Люся(китайская, ривьера, темно-сиреневая) ДУ. Евро, 0,2</t>
  </si>
  <si>
    <t>I0000014940</t>
  </si>
  <si>
    <t>цветок Астра Принцесса (китайская, принцесса, смесь цветов) ДУ. Евро, 0,2</t>
  </si>
  <si>
    <t>I0000014946</t>
  </si>
  <si>
    <t>цветок Василек Комплимент (вид: синий, смесь цветов) ДУ. Евро, 0,2</t>
  </si>
  <si>
    <t>I0000014953</t>
  </si>
  <si>
    <t>цветок Гвоздика Первая любовь (турецкая, низкорослая смесь) ДУ. Евро, 0,1</t>
  </si>
  <si>
    <t>I0000014958</t>
  </si>
  <si>
    <t>цветок Гелихризум Льдинка (прицветниковый, белый) ДУ. Евро, 0,1</t>
  </si>
  <si>
    <t>I0000014962</t>
  </si>
  <si>
    <t>цветок Гипсофила Изваяние (изящная, белоснежно-жемчужные) ДУ. Евро, 0,2</t>
  </si>
  <si>
    <t>I0000014963</t>
  </si>
  <si>
    <t>цветок Гипсофила Розовая дымка (изящная, белоснежно-жемчужная) ДУ. Евро, 0,2</t>
  </si>
  <si>
    <t>I0000014967</t>
  </si>
  <si>
    <t>цветок Дельфиниум Монблан (полевой, белый) ДУ. Евро, 0,2</t>
  </si>
  <si>
    <t>I0000014969</t>
  </si>
  <si>
    <t>цветок Душистый горошек Венеция (чина душистая, маммут, смесь цветов) ДУ. Евро, 0,5</t>
  </si>
  <si>
    <t>I0000014979</t>
  </si>
  <si>
    <t>цветок Кларкия Спутница (хорошенькая, карликовая махровая смесь белого, розового и карминного цвета) ДУ. Евро, 0,2</t>
  </si>
  <si>
    <t>I0000014981</t>
  </si>
  <si>
    <t>цветок Космея Мечта (дваждыперистая,  смесь розово-карминных тонов) ДУ. Евро, 0,5</t>
  </si>
  <si>
    <t>I0000014983</t>
  </si>
  <si>
    <t>цветок Лаватера Невеста (трехмесячная, белоснежная) ДУ. Евро, 0,2</t>
  </si>
  <si>
    <t>I0000014984</t>
  </si>
  <si>
    <t>цветок Лён Лазурная гавань (многолетний, небесно-голубой) ДУ. Евро, 0,2</t>
  </si>
  <si>
    <t>I0000014985</t>
  </si>
  <si>
    <t>цветок Лён Пилигрим (многолетний, небесно-голубой) ДУ. Евро, 0,1</t>
  </si>
  <si>
    <t>I0000014986</t>
  </si>
  <si>
    <t>цветок Львиный зев Акварель (большой, исполинский, смесь цветов) ДУ. Евро, 0,1</t>
  </si>
  <si>
    <t>I0000014991</t>
  </si>
  <si>
    <t>цветок Нигелла Персидские бриллианты  (дамасская, смесь белых, синих, розовых цветов) ДУ. Евро, 0,1</t>
  </si>
  <si>
    <t>I0000014992</t>
  </si>
  <si>
    <t>цветок Подсолнечник Гномик (масличный, карликовый, золотисто-желтый) ДУ. Евро, 0,3</t>
  </si>
  <si>
    <t>I0000014994</t>
  </si>
  <si>
    <t>цветок Подсолнечник Солнечный зайчик (масличный, низкорослый, крупноцветковый, золотисто-желтый) ДУ. Евро, 0,5</t>
  </si>
  <si>
    <t>I0000014996</t>
  </si>
  <si>
    <t>цветок Сальвия Розовый замок (хорминовая, насыщенно-розовая) ДУ . Евро, 0,1</t>
  </si>
  <si>
    <t>I0000014997</t>
  </si>
  <si>
    <t>цветок Тагетес Гавайи (прямостоячий, темно-оранжевый) ДУ. Евро, 0,2</t>
  </si>
  <si>
    <t>I0000014998</t>
  </si>
  <si>
    <t>цветок Тагетес Круиз (отклоненный, низкорослый, красно-коричневый с желтым краем) ДУ. Евро, 0,2</t>
  </si>
  <si>
    <t>I0000015001</t>
  </si>
  <si>
    <t>цветок Флокс Вернисаж (друммонда, смесь белых, розовых, малиновых, красных, лиловых, фиолетовых цветов) ДУ. Евро, 0,1</t>
  </si>
  <si>
    <t>I0000015003</t>
  </si>
  <si>
    <t>цветок Хризантема Маскарад (килеватая, смесь простых и махровых цветков белой, кремовой, желтой, красной окраски) ДУ. Евро, 0,1</t>
  </si>
  <si>
    <t>I0000015004</t>
  </si>
  <si>
    <t>цветок Целозия Пампас Плюме (перистая серебристая, смесь розовая, оранжевая, желтая, красная и пурпурная) ДУ. Евро, 0,1</t>
  </si>
  <si>
    <t>I0000013100</t>
  </si>
  <si>
    <t>щавель Крупнолистный 0,5 г ДУ(ран.спел.,ОГ, удл-овал.,крупн.,св-зелен.) . Евро, 0,5</t>
  </si>
  <si>
    <t>АРБУЗ</t>
  </si>
  <si>
    <t>I0000002504</t>
  </si>
  <si>
    <t>Серия Ажур</t>
  </si>
  <si>
    <t>арбуз Ажур Свит F1 (ср.спелый, 8-12 кг, толстая кожура, ярко-красн. мякоть, сладкая, сочная,сахар12%, для цукатов, засола). Евро, 0,5</t>
  </si>
  <si>
    <t>I0000015832</t>
  </si>
  <si>
    <t>V</t>
  </si>
  <si>
    <t>арбуз Астраханский  (ср.ранний,ОГ, плод 8-16кг, кора тонкая, мякоть яр-красн, зернистая, оч.сладкий, сахар &gt; 12%). Евро, 1</t>
  </si>
  <si>
    <t>арбуз Большая Пекинская Радость F1  (ср.ранний,ОГ, плод 8-16кг, кора тонкая, мякоть ярко-красн, зернистая, оч.сладкий, сахар &gt; 12%). Евро, 1</t>
  </si>
  <si>
    <t>арбуз Волжанин (ср.спелый, плод гладкий,4-6 кг,кора ср.толщ,мякоть т-красн.,зернистая, оч.сладкая. сахар 7,2%, семена мелкие). Евро, 1</t>
  </si>
  <si>
    <t>I0000013142</t>
  </si>
  <si>
    <t>арбуз Гигант Сахарный (ср.поздний, 5-8 кг, кора плотная,мякоть красная, сочная, зернистая, сладкая, для варенья, засола). Евро, 1</t>
  </si>
  <si>
    <t>арбуз Деликатесный F1® ( ранний, ОГ/ЗГ, плод округл. до 3 кг,кора тонкая, плотная, мякоть кр-малиновая, сахарная). Евро, 1</t>
  </si>
  <si>
    <t>арбуз Иринка F1 ( ран.спелый, плод окр, 3-5 кг, кора плотная, мякоть роз-малин.,зернистая, сочная, сладкая, сахар 12%). Евро, 0,5</t>
  </si>
  <si>
    <t>арбуз Карлсон ( ран.спелый, плод окр.3-6 кг., кора толст., плотная, , мякоть красная. сочная. зернистая, сладкая, длит. хранен.). Евро, 1</t>
  </si>
  <si>
    <t>арбуз Коралл ( ультраранний, ОГ/ПУ,плод 2-3 кг,кора тонкая,мякоть красная, сладкая, сочная, зернистая, для употр. в св.виде, засола, пригот. арб. меда ). Евро, 1</t>
  </si>
  <si>
    <t>I0000014717</t>
  </si>
  <si>
    <t>арбуз Красный Мёд ( ср.спелый, ОГ/ПУ, плод гладкий до 5,5 кг. ,кора ср. толщины, мякоть красн., зернист.,нежная, сочная, сахар 8-9 %). Евро, 1</t>
  </si>
  <si>
    <t>арбуз Крестьянин F1 (ср.поздний, ОГ/ПУ, плод 5-8 кг, кора толстая, мякоть красная, зерн-сахарная, сладкая, назн.универс.). Евро, 1</t>
  </si>
  <si>
    <t>I0000002617</t>
  </si>
  <si>
    <t>арбуз Кримбиг F1 ( ср.спелый, ОГ, плод 12-16 кг, кора толстая , мякоть ярко-красн., сочная, сладкая, для употр.в св.виде, пригот.цукатов). Евро, 0,5</t>
  </si>
  <si>
    <t>I0000002552</t>
  </si>
  <si>
    <t>арбуз Кримглоб F1 (ср.спелый, ОГ, плод 8-12 кг,кора толстая, мякоть ярко-красн., сочная , для употр.в св.виде, пригот.цукатов, засолки, длит.хранен.). Евро, 0,5</t>
  </si>
  <si>
    <t>I0000002551</t>
  </si>
  <si>
    <t>арбуз Кримлонг F1(ср.спелый, ОГ, плод 8-10 кг,кора толстая, мякоть красная, зернистая,сладкая, для употр.в св.виде, пригот.цукатов, засолки, длит.хранен.). Евро, 0,5</t>
  </si>
  <si>
    <t>арбуз Кримсон Свит(ср.спелый, ОГ, плод 9-13 кг,кора толстая, мякоть красная, сочная ,сладкая, для употр.в св.виде). Евро, 1</t>
  </si>
  <si>
    <t>арбуз Кримсон Свит(ср.спелый, ОГ, плод 9-13 кг,кора толстая, мякоть красная, сочная ,сладкая, для употр.в св.виде). МФ, 1</t>
  </si>
  <si>
    <t>МФ</t>
  </si>
  <si>
    <t>арбуз Лежебока Медовый F1® (ХИТ! ранний, ОГ, плод 3-5 кг, мякоть красная, сочная, сладкая, для употр.в св. виде , длит. хранен.). Евро, 1</t>
  </si>
  <si>
    <t>арбуз Лёжкий (ран.спелый, плод 3-3,5 кг, кора толстая, мякоть красная, зернистая, оч.сладкая, назн.универс., для длит.хранен.). Евро, 1</t>
  </si>
  <si>
    <t>арбуз Медовый Гигант ( ХИТ! ран.спелый, ОГ/ЗГ, плод 12-15 кг,мякоть роз-красн., плотная, сочная, сладкая,назн.универс., для длит.хранен). Евро, 1</t>
  </si>
  <si>
    <t>арбуз Медовый Гигант ( ХИТ! ран.спелый, ОГ/ЗГ, плод 12-15 кг,мякоть роз-красн., плотная, сочная, сладкая,назн.универс., для длит.хранен). МФ, 1</t>
  </si>
  <si>
    <t>арбуз Медовый Гигант супер F1 ( ран.спелый, ОГ/ЗГ, плод 12-15 кг,мякоть роз-красн., плотная, сочная, сладкая,назн.универс., для длит.хранен). Евро, 1</t>
  </si>
  <si>
    <t>I0000014540</t>
  </si>
  <si>
    <t>арбуз Медовый Мавр F1  ( ср.спелый, ОГ, плод 3,5-6 кг,мякоть желтая, плотная, сочная,оч. сладкая). Евро, 0,5</t>
  </si>
  <si>
    <t>I0000012653</t>
  </si>
  <si>
    <t>Мелотрия шершавая Шапито ( арбуз мексиканский миниатюрный ) (ран.спелая,однолетн.,плоды 2-2,5 см,по вкусу и запаху -огурцы, использ.для озел.,в св.виде, засола). Евро, 0,05</t>
  </si>
  <si>
    <t>арбуз Огонек ( ран.спелый, ОГ, плод 1,7-2,3 кг,мякоть оранж.-красн., нежная, сочная, сладкая, для употр.в св.виде, засола). Евро, 1</t>
  </si>
  <si>
    <t>арбуз Огонек ( ран.спелый, ОГ, плод 1,7-2,3 кг,мякоть оранж.-красн., нежная, сочная, сладкая, для употр.в св.виде, засола). МФ, 1</t>
  </si>
  <si>
    <t>арбуз Пацаны (смесь ран.сортов, плод 2-3 кг,мякоть красн/розов/малин., для употр.в св. виде). Евро, 1</t>
  </si>
  <si>
    <t>арбуз Пекинская Радость Лёжкая F1 ( ран.спелый, ОГ/ЗГ, плод окр.3-3,5 кг., кора толстая , мякоть красная, зернистая,оч. сладкая, длит. хранен.). Евро, 1</t>
  </si>
  <si>
    <t>арбуз Пекинская радость Фермерская F1 ( ран.спелый,ОГ/ЗГ, плод 5-8 кг., кора толстая, мякоть красная, зернистая,сочная, сладкая, назн.универс.). Евро, 1</t>
  </si>
  <si>
    <t>Серия Принц</t>
  </si>
  <si>
    <t>арбуз Принц Альберт F1 ( скороспел. ОГ/ЗГ, плод окр.до 3 кг., кора желт.тонкая, мякоть красная, сочная,оч. сладкая, для употр.в св.виде,пригот.цукатов,арб.меда). Евро, 3</t>
  </si>
  <si>
    <t>арбуз Принц Вильямс F1 ( скороспел. ОГ/ЗГ, плод 1,5-2 кг., кора тонкая, мякоть красная, зернистая,сахарная, для употр.в св.виде,пригот.цукатов,арб.меда). Евро, 0,5</t>
  </si>
  <si>
    <t>арбуз Принц Гамлет F1 ( скороспел. ОГ/ЗГ, плод 1-2 кг., кора тонкая, мякоть без семян, желтая, оч.сладкая, для употр.в св.виде,пригот.цукатов,арб.меда). Евро, 0,5</t>
  </si>
  <si>
    <t>арбуз Принц Гамлет F1 ( скороспел. ОГ/ЗГ, плод 1-2 кг., кора тонкая, мякоть без семян, желтая, оч.сладкая, для употр.в св.виде,пригот.цукатов,арб.меда). Евро, 3, ш</t>
  </si>
  <si>
    <t>шт</t>
  </si>
  <si>
    <t>арбуз Принц Гарри F1 ( скороспел. ОГ/ЗГ, плод 1-2 кг., кора тонкая, мякоть с мал.кол. семян, желтая, медов.вкуса, для употр. в св.виде,пригот.цукатов,арб.меда). Евро, 3</t>
  </si>
  <si>
    <t>арбуз Принц Датский F1 ( ран.спелый, ОГ/ПУ, плод 4-6 кг., мякоть красная,зернистая,сладкая , семена мелк.,сахар 8-9%, для употр. в св.виде). Евро, 3</t>
  </si>
  <si>
    <t>арбуз Принц Чарльз F1  ( скороспел. ОГ/ЗГ, плод 1-2 кг., кора тонкая, мякоть с мал.кол. семян, желтая, сладкая, зернистая, для употр. в св.виде,пригот.цукатов,арб.меда). Евро, 0,5</t>
  </si>
  <si>
    <t>арбуз Радость F1 (ран.спелый, ОГ/ПУ, плод 3-4,5 кг., кора тонкая, мякоть красная,плотная,оч.сладкая, назн.универс.). Евро, 1</t>
  </si>
  <si>
    <t>I0000013140</t>
  </si>
  <si>
    <t>арбуз Розовый Мёд  (ср.спелый, ОГ/ПУ, плод 4-5,5 кг., кора ср.толщ., мякоть розовая,зернистая,оч.сладкая, сахар &gt;10%,назн.универс.,для длит.хранен.). Евро, 1</t>
  </si>
  <si>
    <t>арбуз Сахарный Малыш (ультраскороспел.,  плод 2,5-4,5 кг., кора плотная, мякоть кр-малиновая,зернистая,оч.сладкая,назн.универс.). Евро, 1</t>
  </si>
  <si>
    <t>арбуз Сахарный Малыш (ультраскороспел.,  плод 2,5-4,5 кг., кора плотная, мякоть кр-малиновая,зернистая,оч.сладкая,назн.универс.). МФ, 1</t>
  </si>
  <si>
    <t>арбуз Скороспелый Сахарный (ультраскороспел.,ОГ/ЗГ, плод 2-4 кг., кора тонкая, мякоть красная,оч.сладкая, для употр. в св.виде,пригот.цукатов,арб.меда). Евро, 1</t>
  </si>
  <si>
    <t>арбуз Скороспелый Сахарный (ультраскороспел.,ОГ/ЗГ, плод 2-4 кг., кора тонкая, мякоть красная,оч.сладкая, для употр. в св.виде,пригот.цукатов,арб.меда). МФ, 1</t>
  </si>
  <si>
    <t>арбуз Фаворит (ср.спелый, плод 6-8 кг., кора ср.толщ.,мякоть кр-малиновая,зернистая,сладкая,сахар 8-9%,назн.универс.). Евро, 1</t>
  </si>
  <si>
    <t>арбуз Фермер F1® (ран.спелый, ОГ/ЗГ, плод 5-8 кг.,кора толстая, мякоть красная,зернистая,оч.сладкая, сахар 12%, назн.универс.). Евро, 1</t>
  </si>
  <si>
    <t>арбуз Холодок (позд.спелый, плод 5-8 кг.,кора толстая, мякоть розовая,зернистая,сладк. с кисл.,для употр. в св. виде). Евро, 1</t>
  </si>
  <si>
    <t>арбуз Чудо Востока F1 (ран.спелый, ОГ/ПУ, плод 6-8 кг., мякоть красная, сладкая, назн.универс. для длит. хранен.). Евро, 1</t>
  </si>
  <si>
    <t>арбуз Шуга Бейби (ран.спелый, ОГ/ПУ, плод до 3-5 кг., мякоть кр-малиновая,зернистая,оч.сладкая, назн.универс.). Евро, 1</t>
  </si>
  <si>
    <t>арбуз Шуга Бейби (ран.спелый, ОГ/ПУ, плод до 3-5 кг., мякоть кр-малиновая,зернистая,оч.сладкая, назн.универс.). МФ, 1</t>
  </si>
  <si>
    <t>АРТИШОК</t>
  </si>
  <si>
    <t>артишок Заморский деликатес(Кардон испанский)( ср.спелый,многолетн.,черешк.выс.1-1,5 м, приятн.вкус, диетич.и целебн.св., употр. в св., тушен., отварн., виде). Евро, 0,2</t>
  </si>
  <si>
    <t>артишок Красавец( ср.спелый,многолетн.,соцвет.шаровидн.,8-12 см, приятн.вкус, диетич.и целебн.св., употр. в св., тушен., отварн.,обжарен.,и консервир. виде). Евро, 0,2</t>
  </si>
  <si>
    <t>БАЗИЛИК</t>
  </si>
  <si>
    <t>I0000013269</t>
  </si>
  <si>
    <t>базилик Ажур Зеленый (ср.ранний, ОГ/ЗГ, листья т.зелен. 35-40 см. , употр. в св. виде). Евро, 0,2</t>
  </si>
  <si>
    <t>I0000013270</t>
  </si>
  <si>
    <t>базилик Ажур Пурпурный (ср.ранний, ОГ/ЗГ, листья т.фиолет. 40-45 см. , употр. в св. и суш.виде). Евро, 0,2</t>
  </si>
  <si>
    <t>базилик Арарат (ср.спелый, ОГ/ПУ, листья син.-зелен. 40-60 см. , аромат перечный, употр. в св. и суш.виде). Евро, 0,2</t>
  </si>
  <si>
    <t>базилик Арарат (ср.спелый, ОГ/ПУ, листья син.-зелен. 40-60 см. , аромат перечный, употр. в св. и суш.виде). МФ, 0,2</t>
  </si>
  <si>
    <t>базилик Аромат Ванили (ср.ранний, листья зелен.до 30 см. , вкус ванил, употр. в св. и суш.виде). Евро, 0,1</t>
  </si>
  <si>
    <t>базилик Аромат Лимона (для кулинарии) (ран.спелый, листья зелен., аромат лимона, употр. в св. и суш.виде). Евро, 0,2</t>
  </si>
  <si>
    <t>базилик Аромат Лимона (для кулинарии) (ран.спелый, листья зелен., аромат лимона, употр. в св. и суш.виде). МФ, 0,2</t>
  </si>
  <si>
    <t>базилик Аромат Лимона (для чая) (однолетн., листья св-зелен. 30-35 см. , аромат лимона, употр. в св. и суш.виде). Евро, 0,2</t>
  </si>
  <si>
    <t>базилик Аромат Лимона (для чая) (однолетн., листья св-зелен. 30-35 см. , аромат лимона, употр. в св. и суш.виде). МФ, 0,2</t>
  </si>
  <si>
    <t>I0000016450</t>
  </si>
  <si>
    <t>базилик Аромат Лимона (ран.спелый, ЗГ/ПУ, листья зелен. 50-60 см. , аромат лимона, для гарнир.,консерв.,напитков). Евро, 0,5</t>
  </si>
  <si>
    <t>базилик Валя (ср.ранний, ЗГ, листья зелен. 30-35 см. , аромат пряный, употр. в св., суш.,заморож.виде). Евро, 0,1</t>
  </si>
  <si>
    <t>базилик Вдохновение (однолетн.,ОГ/ЗГ,травянист.раст.зелен.выс.40-50 см., употр. в св. и суш.виде). Евро, 0,1</t>
  </si>
  <si>
    <t>базилик Весеннее Настроение 0,2 г (ср.ранний,  листья мелк.зелен., 30-35 см. , аромат перечн., употр. в св.виде, для солен. и маринад.). Евро, 0,2</t>
  </si>
  <si>
    <t>базилик Весеннее Настроение 0,2 г (ср.ранний,  листья мелк.зелен., 30-35 см. , аромат перечн., употр. в св.виде, для солен. и маринад.). МФ, 0,2</t>
  </si>
  <si>
    <t>базилик Гвоздичный 0,1 г  (однолетн.,ОГ/ЗГ,травянист.раст.зелен.выс.40-50 см.,аромат прян., употр. в св. и суш.виде). Евро, 0,1</t>
  </si>
  <si>
    <t>базилик Гвоздичный аромат  (ср-ранний.,ЗГ,кустист.раст.,листья мелк.зелен.,аромат гвозд., употр. в св.виде). Евро, 0,1</t>
  </si>
  <si>
    <t>базилик Гвоздичный аромат  (ср-ранний.,ЗГ,кустист.раст.,листья мелк.зелен.,аромат гвозд., употр. в св.виде). МФ, 0,1</t>
  </si>
  <si>
    <t>базилик Дивный денек  (однолетн.,ЗГ/ПУ,травянист.раст.пурп-зелен.,выс.40-50 см.,аромат анисов., употр. в св. и суш.виде). Евро, 0,1</t>
  </si>
  <si>
    <t>базилик Для  Спагетти (ср.спелый,листья яр.зелен.,аромат прян., употр. в св.,сушен.,заморож.виде). Евро, 0,2</t>
  </si>
  <si>
    <t>базилик Для  Спагетти (ср.спелый,листья яр.зелен.,аромат прян., употр. в св.,сушен.,заморож.виде). МФ, 0,2</t>
  </si>
  <si>
    <t>базилик Душистый Красавчик (ср.спелый,листья оливк.зелен., 30-40 см.,аромат корицы, употр. в св.,суш.,заморож.виде,для фр.салатов). Евро, 0,1</t>
  </si>
  <si>
    <t>базилик Застольный (ср.поздн.,листья крупн.,св.зелен.,аромат сильн., употр. в св.и суш.виде). Евро, 0,2</t>
  </si>
  <si>
    <t>базилик Застольный (ср.поздн.,листья крупн.,св.зелен.,аромат сильн., употр. в св.и суш.виде). МФ, 0,2</t>
  </si>
  <si>
    <t>базилик Карамельный (ср.спелый,листья зелен.,аромат карамел., употр. в св.и суш.виде). Евро, 0,2</t>
  </si>
  <si>
    <t>базилик Карамельный (ср.спелый,листья зелен.,аромат карамел., употр. в св.и суш.виде). МФ, 0,2</t>
  </si>
  <si>
    <t>базилик Красивая сказка 0,2 г (ср.спелый,ЗГ,листья сред.т.фиолет.,50-60 см., употр. в св.и суш.виде). Евро, 0,2</t>
  </si>
  <si>
    <t>базилик Красивая сказка 0,2 г (ср.спелый,ЗГ,листья сред.т.фиолет.,50-60 см., употр. в св.и суш.виде). МФ, 0,2</t>
  </si>
  <si>
    <t>базилик Пурпурный 0,2 г (ср.ранний,ЗГ,листья т.фиолет.,40-50 см.,сильн.аромат, употр. в св.и суш.виде). Евро, 0,2</t>
  </si>
  <si>
    <t>базилик Пурпурный 0,2 г (ср.ранний,ЗГ,листья т.фиолет.,40-50 см.,сильн.аромат, употр. в св.и суш.виде). МФ, 0,2</t>
  </si>
  <si>
    <t>базилик Санька (ср.ранний,ЗГ,листья т.зелен.,35-40 см., сильн.аромат, употр. в св.и суш.виде). Евро, 0,2</t>
  </si>
  <si>
    <t>базилик Смесь лучших сортов (смесь сортов, ср.спелый , листья разн.велич.и окраса ,30-60 см., широк.спектр ароматов, употр. в св.и суш.виде). Евро, 0,5</t>
  </si>
  <si>
    <t>базилик Смесь лучших сортов (смесь сортов, ср.спелый , листья разн.велич.и окраса ,30-60 см., широк.спектр ароматов, употр. в св.и суш.виде). МФ, 0,5</t>
  </si>
  <si>
    <t>базилик Смуглянка (ср.ранний,ЗГ,листья т.фиолет., аромат пряный , употр. в св.и суш.виде). Евро, 0,1</t>
  </si>
  <si>
    <t>базилик Смуглянка (ср.ранний,ЗГ,листья т.фиолет., аромат пряный , употр. в св.и суш.виде). МФ, 0,1</t>
  </si>
  <si>
    <t>базилик Смуглянка (ср.ранний,ЗГ,листья т.фиолет., аромат пряный , употр. в св.и суш.виде). МФ, 0,2</t>
  </si>
  <si>
    <t>базилик Фиолетовый (ср.ранний,ЗГ,листья крупн.,кр-фиолет.,40-50 см., аромат душ.перца, употр. в св.виде). Евро, 0,2</t>
  </si>
  <si>
    <t>базилик Фиолетовый (ср.ранний,ЗГ,листья крупн.,кр-фиолет.,40-50 см., аромат душ.перца, употр. в св.виде). МФ, 0,2</t>
  </si>
  <si>
    <t>I0000016453</t>
  </si>
  <si>
    <t>базилик Фиолетовый  (ср.ранний,ЗГ,листья крупн.,кр-фиолет.,40-50 см., аромат душ.перца, употр. в св.виде) ролевый конверт. Евро, 0,2</t>
  </si>
  <si>
    <t>БАКЛАЖАН</t>
  </si>
  <si>
    <t>I0000013271</t>
  </si>
  <si>
    <t>Баклажан Ажур F1 (ХИТ! цилиндрич, темно-фиолет). Евро, 0,1</t>
  </si>
  <si>
    <t>Баклажан Алмаз (цилиндрич, темно-фиолет). Евро, 0,2</t>
  </si>
  <si>
    <t>Баклажан Алмаз (цилиндрич, темно-фиолет). МФ, 0,2</t>
  </si>
  <si>
    <t>Баклажан Альбатрос (укорочен-грушевидн, буро-коричн). Евро, 0,2</t>
  </si>
  <si>
    <t>Баклажан Альбатрос (укорочен-грушевидн, буро-коричн). МФ, 0,2</t>
  </si>
  <si>
    <t>Баклажан Астраком (цилиндрич, глянцево-черный). Евро, 0,2</t>
  </si>
  <si>
    <t>Баклажан Астраком (цилиндрич, глянцево-черный). МФ, 0,2</t>
  </si>
  <si>
    <t>Баклажан Банан (удлиненно-цилиндрич, темно-фиолет). Евро, 0,2</t>
  </si>
  <si>
    <t>Баклажан Банан (удлиненно-цилиндрич, темно-фиолет). МФ, 0,2</t>
  </si>
  <si>
    <t>Баклажан Белая ночь (ХИТ! удлинен-грушевид, белый!). Евро, 0,2</t>
  </si>
  <si>
    <t>Баклажан Белая ночь (ХИТ! удлинен-грушевид, белый!). МФ, 0,2</t>
  </si>
  <si>
    <t>Баклажан Блэк Бьюти (округло-грушевид, фиолетово-черн). Евро, 0,2</t>
  </si>
  <si>
    <t>Баклажан Блэк Бьюти (округло-грушевид, фиолетово-черн). МФ, 0,2</t>
  </si>
  <si>
    <t>Баклажан Бычок F1 (грушевидный, фиолет). Евро, 0,2</t>
  </si>
  <si>
    <t>Баклажан Бычье сердце F1 (ХИТ! округ-овальный, темно-фиолет). Евро, 0,2</t>
  </si>
  <si>
    <t>Баклажан Бычье сердце F1 (ХИТ! округ-овальный, темно-фиолет). МФ, 0,2</t>
  </si>
  <si>
    <t>Баклажан Вкус грибов® (ХИТ! цилиндрич/ слабогрушевид, белый!). МФ, 0,2</t>
  </si>
  <si>
    <t>Баклажан Галина F1 (ХИТ! цилиндрич, черно-фиолет). Евро, 0,1</t>
  </si>
  <si>
    <t>Баклажан Галина F1 (ХИТ! цилиндрич, черно-фиолет). МФ, 0,1</t>
  </si>
  <si>
    <t>Баклажан Длинный фиолетовый (ХИТ! удлин-цилиндрич, темно-фиолет). Евро, 0,2</t>
  </si>
  <si>
    <t>Баклажан Длинный фиолетовый (ХИТ! удлин-цилиндрич, темно-фиолет). МФ, 0,2</t>
  </si>
  <si>
    <t>Баклажан Для барбекю F1 (ХИТ! цилиндрич, темно-фиолет). Евро, 0,2</t>
  </si>
  <si>
    <t>Баклажан Для шашлыка F1 (ХИТ! цилиндрич, темно-фиолет). Евро, 0,2</t>
  </si>
  <si>
    <t>Баклажан Есаул F1 (цилиндрич, темно-фиолет). Евро, 0,2</t>
  </si>
  <si>
    <t>Баклажан Есаул F1 (цилиндрич, темно-фиолет). МФ, 0,2</t>
  </si>
  <si>
    <t>Баклажан Зелёненький (ХИТ! укорочен-грушевидн, зеленый!). Евро, 0,2</t>
  </si>
  <si>
    <t>Баклажан Зелёненький (ХИТ! укорочен-грушевидн, зеленый!). МФ, 0,2</t>
  </si>
  <si>
    <t>Баклажан Изумрудный F1 (ХИТ! удлинен-цилиндрич, зеленый!). Евро, 0,2</t>
  </si>
  <si>
    <t>https://www.sedek.ru/upload/iblock/305/mmc4hawzb7mye0mucmkjjkmtzi0fkzwc/baklazhan_kapriz_f1.JPG</t>
  </si>
  <si>
    <t>Баклажан Каприз® F1 (ХИТ! цилиндрич, темно-фиолет). Евро, 0,1</t>
  </si>
  <si>
    <t>Баклажан Красавчик (удлинен-цилиндрич, темно-фиолет). Евро, 0,2</t>
  </si>
  <si>
    <t>Баклажан Лава F1 (цилиндрич, темно-фиолет). Евро, 0,2</t>
  </si>
  <si>
    <t>Баклажан Лава F1 (цилиндрич, темно-фиолет). МФ, 0,2</t>
  </si>
  <si>
    <t>Баклажан Лебединый (удлин-грушевид, белый!). Евро, 0,2</t>
  </si>
  <si>
    <t>Баклажан Лебединый (удлин-грушевид, белый!). МФ, 0,2</t>
  </si>
  <si>
    <t>Баклажан Мария® (ХИТ! цилиндрич, темно-фиолет). Евро, 0,2</t>
  </si>
  <si>
    <t>Баклажан Мария® (ХИТ! цилиндрич, темно-фиолет). МФ, 0,2</t>
  </si>
  <si>
    <t>Баклажан Маркиз® F1 (ХИТ! цилиндрич, темно-фиолет). Евро, 0,1</t>
  </si>
  <si>
    <t>Баклажан Маркиз® F1 (ХИТ! цилиндрич, темно-фиолет). Евро, 0,2</t>
  </si>
  <si>
    <t>Баклажан Матросик (овал-грушевид, сиренев. с бел.полосами!). Евро, 0,2</t>
  </si>
  <si>
    <t>Баклажан Мечта огородника (ХИТ! цилиндрич, темно-фиолет). Евро, 0,2</t>
  </si>
  <si>
    <t>Баклажан Мечта огородника (ХИТ! цилиндрич, темно-фиолет). МФ, 0,2</t>
  </si>
  <si>
    <t>Баклажан Настенька (цилиндрич, темно-фиолет). Евро, 0,2</t>
  </si>
  <si>
    <t>Баклажан Нижневолжский (цилиндрич, темно-фиолет). Евро, 0,2</t>
  </si>
  <si>
    <t>Баклажан Нижневолжский (цилиндрич, темно-фиолет). МФ, 0,2</t>
  </si>
  <si>
    <t>Баклажан Принц® (ХИТ! цилиндрич, черно-фиолет). Евро, 0,2</t>
  </si>
  <si>
    <t>Баклажан Принц® (ХИТ! цилиндрич, черно-фиолет). МФ, 0,2</t>
  </si>
  <si>
    <t>Баклажан Сиреневый (удлинен-цилиндрич, сиренев). Евро, 0,2</t>
  </si>
  <si>
    <t>Баклажан Смуглянка (цилиндрич, темно-фиолет). Евро, 0,2</t>
  </si>
  <si>
    <t>Баклажан Смуглянка (цилиндрич, темно-фиолет). МФ, 0,2</t>
  </si>
  <si>
    <t>Баклажан Сосулька (удлинен-цилиндрич, белый!). Евро, 0,2</t>
  </si>
  <si>
    <t>Баклажан Сулико (удлинен-грушевид, темно-сирен). Евро, 0,2</t>
  </si>
  <si>
    <t>Баклажан Толстый барин (ХИТ! округл, темно-фиолет). Евро, 0,2</t>
  </si>
  <si>
    <t>Баклажан Универсал 6 (цилиндрич, фиолет). Евро, 0,2</t>
  </si>
  <si>
    <t>Баклажан Универсал 6 (цилиндрич, фиолет). МФ, 0,2</t>
  </si>
  <si>
    <t>Баклажан Чёрная луна F1 (укорочен-грушевидн, темно-фиолет). Евро, 0,2</t>
  </si>
  <si>
    <t>Баклажан Чёрная луна F1 (укорочен-грушевидн, темно-фиолет). МФ, 0,2</t>
  </si>
  <si>
    <t>Баклажан Чёрный бриллиант (ХИТ! цилиндрич, черно-фиолет). Евро, 0,2</t>
  </si>
  <si>
    <t>Баклажан Чёрный ворон F1 (удлинен-грушевид, темно-фиолет). Евро, 0,2</t>
  </si>
  <si>
    <t>Баклажан Чёрный Дракон F1 (цилиндрич, темно-фиолет). Евро, 0,2</t>
  </si>
  <si>
    <t>Баклажан Чёрный Дракон F1 (цилиндрич, темно-фиолет). МФ, 0,2</t>
  </si>
  <si>
    <t>Баклажан Чёрный красавец (грушевидн, коричн-фиолет). Евро, 0,2</t>
  </si>
  <si>
    <t>Баклажан Эрмин F1 (шарообразн, темно-фиолет). Евро, 0,2</t>
  </si>
  <si>
    <t>Баклажан Эрмин F1 (шарообразн, темно-фиолет). Евро, 0,3</t>
  </si>
  <si>
    <t>Баклажан ЯтаганF1 (цилиндрич, темно-фиолет). Евро, 0,2</t>
  </si>
  <si>
    <t>Баклажан ЯтаганF1 (цилиндрич, темно-фиолет). МФ, 0,2</t>
  </si>
  <si>
    <t>БАМИЯ</t>
  </si>
  <si>
    <t>I0000001229</t>
  </si>
  <si>
    <t>бамия Дамские пальчики ( ср-спелый, ОГ/ПУ, стручки пальцевидн.формы, 6-20 см, испол. в св., сушен., заморожен.,консерв.виде). Евро, 1</t>
  </si>
  <si>
    <t>I0000000516</t>
  </si>
  <si>
    <t>бамия Красавица ( ср-спелый, ОГ/ПУ, стручки пальцевидн.формы, 6-20 см, испол. в св., сушен., заморожен.,консерв.виде). Евро, 1</t>
  </si>
  <si>
    <t>БОБЫ</t>
  </si>
  <si>
    <t>бобы Белорусские (бобы 8-10 см, зерна св-коричн, 3-4шт). Евро, 10</t>
  </si>
  <si>
    <t>бобы Белорусские (бобы 8-10 см, зерна св-коричн, 3-4шт). МФ, 6</t>
  </si>
  <si>
    <t>бобы Велена (бобы 10-12 см, зерна св-палев, 3-4шт). Евро, 10</t>
  </si>
  <si>
    <t>бобы Велена (бобы 10-12 см, зерна св-палев, 3-4шт). МФ, 6</t>
  </si>
  <si>
    <t>бобы Дачник (бобы 15-17 см, зерна белые). Евро, 10</t>
  </si>
  <si>
    <t>бобы  Детский восторг (бобы длинные, зерна белые). Евро, 10</t>
  </si>
  <si>
    <t>бобы  Детский восторг (бобы длинные, зерна белые). МФ, 6</t>
  </si>
  <si>
    <t>бобы  Лидер (бобы 7-8 см, зерна зеленые, 3-4шт). Евро, 10</t>
  </si>
  <si>
    <t>бобы  Лидер (бобы 7-8 см, зерна зеленые, 3-4шт). МФ, 10</t>
  </si>
  <si>
    <t>бобы Оптика (бобы 10-12 см, зерна т-беж, 5-7шт). Евро, 10</t>
  </si>
  <si>
    <t>бобы Русские чёрные (бобы 7-8 см, зерна т-фиолет, 3-4шт). Евро, 10</t>
  </si>
  <si>
    <t>бобы Русские чёрные (бобы 7-8 см, зерна т-фиолет, 3-4шт). МФ, 6</t>
  </si>
  <si>
    <t>бобы Трижды белые (бобы до 15 см, зерна белые, 4шт). Евро, 10</t>
  </si>
  <si>
    <t>бобы Трижды белые (бобы до 15 см, зерна белые, 4шт). МФ, 10</t>
  </si>
  <si>
    <t>бобы Янкель Бялы  (бобы длинные, зерна бежевые). МФ, 10</t>
  </si>
  <si>
    <t>БРЮКВА</t>
  </si>
  <si>
    <t>брюква Вильма ( ср.ранний, окр-овальн., св.желтый). Евро, 0,5</t>
  </si>
  <si>
    <t>брюква Вильма ( ср.ранний, окр-овальн., св.желтый). МФ, 0,5</t>
  </si>
  <si>
    <t>брюква Детская любовь ( ср.ранний, окр-овальн., св.желтый). Евро, 0,5</t>
  </si>
  <si>
    <t>брюква Детская любовь ( ср.ранний, окр-овальн., св.желтый). МФ, 0,5</t>
  </si>
  <si>
    <t>брюква Светлая мечта ( ср.спелый, овальн., желто-зелен.). Евро, 0,5</t>
  </si>
  <si>
    <t>ВИГНА</t>
  </si>
  <si>
    <t>I0000001430</t>
  </si>
  <si>
    <t>вигна овощная Кудесница (ран.спелая, ОГ/ПУ, бобы 60-70 см., зеленые). Евро, 3</t>
  </si>
  <si>
    <t>I0000001365</t>
  </si>
  <si>
    <t>вигна овощная Факир (ран.спелая, ОГ/ПУ, бобы 50-70 см., зеленые). Евро, 3</t>
  </si>
  <si>
    <t>ГАЗОН</t>
  </si>
  <si>
    <t>газон Травосмесь Саншайн (500г)(пос.апр-сент.,выс. декоративн.,для дет.площ.,совр.газон., открыт.лужаек в парках.)</t>
  </si>
  <si>
    <t>ГОРОХ</t>
  </si>
  <si>
    <t>I0000002427</t>
  </si>
  <si>
    <t>Горох Ажур (лущильн, бобы 8-10см, 7-8 горошин, холодост.). Евро, 8</t>
  </si>
  <si>
    <t>Горох Азарт (мозговой, бобы 7-8 см, 6-8 горошин, высокоурожайный). Евро, 8</t>
  </si>
  <si>
    <t>Горох Александра (сахарный, бобы 6-8 см, 7-8 горошин, без пергам. слоя). Евро, 5</t>
  </si>
  <si>
    <t>Горох Александра (сахарный, бобы 6-8 см, 7-8 горошин, без пергам. слоя). МФ, 5</t>
  </si>
  <si>
    <t>I0000002874</t>
  </si>
  <si>
    <t>Горох Альфа (лущильн, бобы 7-9 см, 6-9 горошин, вкус отличный). Евро, 8</t>
  </si>
  <si>
    <t>Горох Амброзия (сахарный, бобы 10 см, 8-9 горошин, холодост.). Евро, 5</t>
  </si>
  <si>
    <t>Горох Атлант (лущильн, бобы 6-7 см, 7-9 горошин, устойчив к засухе). Евро, 5</t>
  </si>
  <si>
    <t>Горох Атлант (лущильн, бобы 6-7 см, 7-9 горошин, устойчив к засухе). МФ, 5</t>
  </si>
  <si>
    <t>Горох Бабушкин сюрприз (лущильн, бобы 8-10 см, 8-10 горошин). Евро, 8</t>
  </si>
  <si>
    <t>Горох Весёлые ребята (лущильн, бобы 8-10 см, 8-10 горошин, устойчив к полеганию). Евро, 8</t>
  </si>
  <si>
    <t>Горох Внучок (лущильн, бобы 6-8 см, 6-8 горошин, дружно формир. урожай). Евро, 8</t>
  </si>
  <si>
    <t>I0000001068</t>
  </si>
  <si>
    <t>Горох Геракл (сахарный, бобы 7-9 см, 7-9 горошин, холодост.). Евро, 8</t>
  </si>
  <si>
    <t>Горох Глориоза (лущильн, бобы слабоизогн, 6-8 горошин, холодост.). Евро, 8</t>
  </si>
  <si>
    <t>Горох Грёзы (сахарный, бобы 7-8 см, 7-9 горошин, холодост.). Евро, 5</t>
  </si>
  <si>
    <t>Горох Грёзы (сахарный, бобы 7-8 см, 7-9 горошин, холодост.). МФ, 5</t>
  </si>
  <si>
    <t>Горох Делиза (лущильн, бобы 7-9 см, 6-9 горошин, для консервации, сушки и заморозки). Евро, 8</t>
  </si>
  <si>
    <t>Горох Делиза (лущильн, бобы 7-9 см, 6-9 горошин, для консервации, сушки и заморозки). МФ, 5</t>
  </si>
  <si>
    <t>Горох Динга (лущильн, бобы 9-11 см, 9-10 горошин, дружное созревание). Евро, 5</t>
  </si>
  <si>
    <t>Горох Динга (лущильн, бобы 9-11 см, 9-10 горошин, дружное созревание). МФ, 5</t>
  </si>
  <si>
    <t>I0000001066</t>
  </si>
  <si>
    <t>Горох Малыш (лущильн, бобы 6 см, 6-9 горошин, холодост.). Евро, 8</t>
  </si>
  <si>
    <t>Горох Медовая лопатка® (ХИТ! сахарный, бобы слабоизогн,7-8 горошин, холодост.). Евро, 5</t>
  </si>
  <si>
    <t>Горох Метеор (сахарный, бобы 7-9 см, 7-10 горошин, кустовой). Евро, 5</t>
  </si>
  <si>
    <t>Горох Метеор (сахарный, бобы 7-9 см, 7-10 горошин, кустовой). МФ, 5</t>
  </si>
  <si>
    <t>Горох Ника (сахарный, бобы 8-9 см, 7-10 горошин, устойчив к заболеваниям). Евро, 8</t>
  </si>
  <si>
    <t>Горох Ника (сахарный, бобы 8-9 см, 7-10 горошин, устойчив к заболеваниям). МФ, 6</t>
  </si>
  <si>
    <t>Горох Пионер (очень ранний, сахарный, бобы 7-9 см, 6-8 горошин, урожайный). Евро, 8</t>
  </si>
  <si>
    <t>Горох Премиум (лущильн, бобы 8 см, 7-9 крупных горошин). Евро, 8</t>
  </si>
  <si>
    <t>Горох Сахарный стручок (сахарный, бобы прямые). Евро, 5</t>
  </si>
  <si>
    <t>Горох Сахарный стручок (сахарный, бобы прямые). МФ, 5</t>
  </si>
  <si>
    <t>Горох Сенатор (очень ранний, мозговой, бобы длинные, 6-8 горошин). Евро, 5</t>
  </si>
  <si>
    <t>Горох Сладкий дружок® (ХИТ! очень ранний, лущильн, бобы 8-9 см, 7-8 горошин, холодост.). Евро, 8</t>
  </si>
  <si>
    <t>Горох Сладкий дружок® (ХИТ! очень ранний, лущильн, бобы 8-9 см, 7-8 горошин, холодост.). МФ, 6</t>
  </si>
  <si>
    <t>Горох Чудо Кельведона (ранний, сахарный, бобы 6-8 см, 7-8 горошин, устойчив к полеганию). Евро, 8</t>
  </si>
  <si>
    <t>Горох Чудо Кельведона (ранний, сахарный, бобы 6-8 см, 7-8 горошин, устойчив к полеганию). МФ, 6</t>
  </si>
  <si>
    <t>Горох Янтар (ранний, лущильн, бобы 6-8 см, 4-6 горошин, холодост.). Евро, 8</t>
  </si>
  <si>
    <t>Горох Янтар (ранний, лущильн, бобы 6-8 см, 4-6 горошин, холодост.). МФ, 6</t>
  </si>
  <si>
    <t>ДАЙКОН</t>
  </si>
  <si>
    <t>Дайкон Бивень мамонта (позд, 700-800г, отлично хранится). Евро, 1</t>
  </si>
  <si>
    <t>Дайкон Большой бык (корнеплод крупный, холодост.). Евро, 1</t>
  </si>
  <si>
    <t>Дайкон Большой бык (корнеплод крупный, холодост.). МФ, 1</t>
  </si>
  <si>
    <t>Дайкон Дубинушка (ср-спел, 0,5-2 кг, для длит. хранения). Евро, 1</t>
  </si>
  <si>
    <t>Дайкон Дубинушка (ср-спел, 0,5-2 кг, для длит. хранения). МФ, 1</t>
  </si>
  <si>
    <t>Дайкон Клык слона (ср-спел, 300-500 г  холодост.). Евро, 1</t>
  </si>
  <si>
    <t>Дайкон Клык слона (ср-спел, 300-500 г  холодост.). МФ, 1</t>
  </si>
  <si>
    <t>Дайкон Миноваси (скороспел, 0,6-2,5 кг, устойч. к цветушности). Евро, 1</t>
  </si>
  <si>
    <t>Дайкон Саша (ранний, 100-400 г, высокотоварный). Евро, 1</t>
  </si>
  <si>
    <t>Дайкон Японский белый длинный (позд, 2-3 кг, для длительн. хранения). Евро, 1</t>
  </si>
  <si>
    <t>Дайкон Японский белый длинный (позд, 2-3 кг, для длительн. хранения). МФ, 1</t>
  </si>
  <si>
    <t>I0000012648</t>
  </si>
  <si>
    <t>Дайкон Японский красный длинный (ранний, 0,3-0,6 кг, устойч. к заморозкам). Евро, 1</t>
  </si>
  <si>
    <t>ДЫНЯ</t>
  </si>
  <si>
    <t>дыня Алина ( ран.спелый, округл., желтая, сладкая, 1 кг.). Евро, 0,5</t>
  </si>
  <si>
    <t>дыня Ананасная(ск.спелый, овал.,зол-оранж., оч.сладкая, 1,8-2 кг.)  . Евро, 0,5</t>
  </si>
  <si>
    <t>дыня Ананасная(ск.спелый, овал.,зол-оранж., оч.сладкая, 1,8-2 кг.)  . МФ, 0,5</t>
  </si>
  <si>
    <t>дыня Грунтовая ранняя ( ран.спелый, округл.-овальн., желт.-оранж., сочная , 1,2-3 кг.). Евро, 0,5</t>
  </si>
  <si>
    <t>дыня Змеевидная "Богатырь белый" ( ран.спел.,цилиндр.,св.зелен.,сладк.,аромат дыни, до 1 кг.). Евро, 0,5</t>
  </si>
  <si>
    <t>дыня Змеевидная "Богатырь зелёный" ( ран.спел.,цилиндр.,зелен.,сладк.,аромат дыни, до 1 кг.). Евро, 0,5</t>
  </si>
  <si>
    <t>дыня Золотистая  ( ср.ранний, округл.-овальн., золот.-оранж., оч.сладк , 1,5-2 кг.). Евро, 0,5</t>
  </si>
  <si>
    <t>дыня Имперская деликатесная  ( ср.ранний, округл.-овальн., желт.-зелен, сладк , 1,4-1,8 кг.). Евро, 0,5</t>
  </si>
  <si>
    <t>дыня Канареечная Медовая  ( скороспел., овальн., желт., сладкая , 1,5-2 кг.). Евро, 0,5</t>
  </si>
  <si>
    <t>I0000001967</t>
  </si>
  <si>
    <t>дыня Колхозница 749/753  ( ср.спелый, округл., желт.-оранж., оч.сладк , 0,7-1,3 кг.). Евро, 0,5</t>
  </si>
  <si>
    <t>дыня Лада  ( ср.спелый, округл., желт., оч.сладк , 1,5-2 кг.). Евро, 0,5</t>
  </si>
  <si>
    <t>дыня Медовая гигантская F1  ( ран.спелый, удл.-овальн., желт., сладк , 2,5-3,5 кг.). Евро, 0,5</t>
  </si>
  <si>
    <t>дыня Медовуха  F1 (ран.-спелый, округл., зелен.-желт., сочная , 0,4-0,5 кг.). Евро, 0,5</t>
  </si>
  <si>
    <t>дыня Мельба  (ранний, овальн., желт.-кремов., сладк., 0,5-0,7 кг.). Евро, 0,5</t>
  </si>
  <si>
    <t>дыня Мускатная белая( ран., округл., крем-бел., сладкая, 1,5-2 кг.). Евро, 0,5</t>
  </si>
  <si>
    <t>дыня Мускатная белая( ран., округл., крем-бел., сладкая, 1,5-2 кг.). МФ, 0,5</t>
  </si>
  <si>
    <t>дыня Осень ( ср.спелый, округл., желт., сочная, 1,6-2,5 кг.). Евро, 0,5</t>
  </si>
  <si>
    <t>дыня Принцесса Александра F1( ср.спелый, округл., серо-зелен., сочная, 1,2-2 кг.). Евро, 0,2</t>
  </si>
  <si>
    <t>дыня Принцесса Анна F1(ран.-спелый, овальн., бел., оч.сладк , 1,4-2,2 кг.). Евро, 0,2</t>
  </si>
  <si>
    <t>дыня Принцесса Диана F1(ран.-спелый, округл., бел., сладкая , 1,2-2 кг.). Евро, 0,2</t>
  </si>
  <si>
    <t>I0000002282</t>
  </si>
  <si>
    <t>дыня Принцесса Екатерина F1(ран.-спелый, округл., серо-кремов., сладкая , 1,2-1,5 кг.). Евро, 0,2</t>
  </si>
  <si>
    <t>дыня Принцесса Елизавета F1(ран.-спелый, округл., золот.-желт., умерен.сладк , 1,4-1,6 кг.). Евро, 0,2</t>
  </si>
  <si>
    <t>дыня Принцесса Мария F1(ран.-спелый, округл., серо-зелен., сахарн., 1,3-1,5 кг.). Евро, 0,2</t>
  </si>
  <si>
    <t>дыня Принцесса Светлана F1(ран.-спелый, округл., бел.-кремов., умерен.сладк , 1,2-2 кг.). Евро, 0,2</t>
  </si>
  <si>
    <t>дыня Ранняя Любовь (ран.спелый, округл., серо-зелен., умерен.сладк , 1,3-1,7 кг.). Евро, 0,5</t>
  </si>
  <si>
    <t>дыня Ранняя Сладкая (ср.ранний, округл., желт., оч.сладк , 2-3 кг.). Евро, 0,5</t>
  </si>
  <si>
    <t>дыня Сахарный налив (ср.спелый, округл.-овальн., желт.-зелен., сладк , 1,2-3 кг.). Евро, 0,5</t>
  </si>
  <si>
    <t>дыня Сладострастница F1 (ран.спелый, овальн., желт.,оч. сладк , 2,5-3 кг.). Евро, 0,2</t>
  </si>
  <si>
    <t>дыня Смесь ранних сортов для холодного климата ( ран/ср.спелый, округл/овальн.,св.желт/золот.-оранж., сочн/сладк , 1,4-1,8 кг.). Евро, 0,5</t>
  </si>
  <si>
    <t>дыня Шарлотта (ср.ранний, округл., темн.-оранж., сладк , 1-2 кг.). Евро, 1</t>
  </si>
  <si>
    <t>ЗЕМЛЯНИКА</t>
  </si>
  <si>
    <t>земляника Али-Баба ( мелкоплодная ремонтант.)  (ран.спел., конич., красн.,кисл.- сладк., 3-5 г.). Евро, 0,04</t>
  </si>
  <si>
    <t>земляника Ананасная ( мелкоплодная ремонтант.)  (ран.спел., конич., белая.,кисл.- сладк., 5-6 г.). Евро, 0,04</t>
  </si>
  <si>
    <t>земляника Барон Солемахер ( мелкоплодная ремонтант.)  (ран.спел., конич., красн., сладк., до 4 г.). Евро, 0,04</t>
  </si>
  <si>
    <t>земляника Белоснежка ( мелкоплодная ремонтант.)  (ран.спел., конич., белая., кисл.-сладк., 4-6 г.). Евро, 0,04</t>
  </si>
  <si>
    <t>земляника Времена Года ( мелкоплодная ремонтант.)  (ран.спел., конич., красн., сладк., 4-7 г.). Евро, 0,04</t>
  </si>
  <si>
    <t>земляника Иришка F1 (крупноплодная ремонтант.,клубника)  (ран.спел., конич., т.- красн., оч.ароматн.,18-25 г.). Евро, 0,09</t>
  </si>
  <si>
    <t>земляника Лесная Сказка ( мелкоплодная ремонтант.)  (ран.спел., конич., т.-красн.,кисл.- сладк.,4-6 г.). Евро, 0,04</t>
  </si>
  <si>
    <t>земляника Лизонька F1 (крупноплодная ремонтант.,клубника) (ультраскороспел., конич., т.-красн., сладк.,30-40 г.). Евро, 15</t>
  </si>
  <si>
    <t>земляника Мармеладная ( мелкоплодная ремонтант.) (ран.спел., конич., красн.,кисл.- сладк.,3-5 г.). Евро, 0,04</t>
  </si>
  <si>
    <t>земляника Настенька F1 (крупноплодная ремонтант.,клубника) (ран.спел., конич., т.-красн.,кисл.- сладк.,20-25 г.). Евро, 15</t>
  </si>
  <si>
    <t>земляника Огородница F1 (крупноплодная ремонтант.,клубника) (ран.спел., конич., красн., сладк., 20-25 г.). Евро, 15</t>
  </si>
  <si>
    <t>земляника Радость Дачника F1 (крупноплодная ремонтант.,клубника) (ран.спел., конич., ярк.-красн., сладк., 30-50 г.). Евро, 15</t>
  </si>
  <si>
    <t>земляника Рейнский Вальс ( мелкоплодная ремонтант.) (ран.спел., конич., ярк.-красн., сладк.,2-4 г.). Евро, 0,04</t>
  </si>
  <si>
    <t>земляника Розовая мечта F1 (крупноплодная ремонтант.,клубника) (ультраскороспел., конич., т.-красн., сладк.,30-40 г.). Евро, 0,01</t>
  </si>
  <si>
    <t>земляника Рюген ( мелкоплодная ремонтант.) (ран.спел., конич., ярк.-красн.,кисл.- сладк., 2,5-5 г.). Евро, 0,04</t>
  </si>
  <si>
    <t>земляника Сашенька  F1 (ХИТ! крупноплодная ремонтант.,клубника) (ран.спел., красн., сладк.,30-50 г.). Евро, 15</t>
  </si>
  <si>
    <t>земляника Сладкоежка F1 (крупноплодная ремонтант.,клубника) (ран.спел., округл., ярк.-красн., сладк.,30-50 г.). Евро, 15</t>
  </si>
  <si>
    <t>земляника Сластена F1 (крупноплодная ремонтант.,клубника) (ран.спел., округл, ярк.-красн., кисл.-сладк., 15-18 г.). Евро, 15</t>
  </si>
  <si>
    <t>земляника Фреска F1 (крупноплодная ремонтант.,клубника) (ран.спел., конич., т.-красн., сладк.,18-25 г.). Евро, 15</t>
  </si>
  <si>
    <t>КАБАЧОК</t>
  </si>
  <si>
    <t>I0000013232</t>
  </si>
  <si>
    <t>Кабачок Ажур Вороной F1 (цилиндрич, темно-зеленый, скороспел). Евро, 1</t>
  </si>
  <si>
    <t>Кабачок Астория (цилиндрич, тем-зеленый, лежкий). Евро, 2</t>
  </si>
  <si>
    <t>Кабачок Афина F1 (цилиндрич, зелёный, обильное плодонош.). Евро, 1</t>
  </si>
  <si>
    <t>Кабачок Аэронавт (цилиндрич, темно-зеленый, обильное плодонош.). Евро, 2</t>
  </si>
  <si>
    <t>Кабачок Аэронавт (цилиндрич, темно-зеленый, обильное плодонош.). МФ, 2</t>
  </si>
  <si>
    <t>Кабачок Белогор F1 (цилиндрич, зелено-белый, высокоурожайный). Евро, 2</t>
  </si>
  <si>
    <t>Кабачок Белоплодные (цилиндрич, белый, раннеспелый). Евро, 2</t>
  </si>
  <si>
    <t>Кабачок Белоплодные (цилиндрич, белый, раннеспелый). МФ, 2</t>
  </si>
  <si>
    <t>Кабачок Белый (цилиндрич, белый, холодостойкий). Евро, 2</t>
  </si>
  <si>
    <t>Кабачок Белый лебедь® (ХИТ! цилиндрич, белый, лежкий). Евро, 2</t>
  </si>
  <si>
    <t>Кабачок Белый лебедь® (ХИТ! цилиндрич, белый, лежкий). МФ, 2</t>
  </si>
  <si>
    <t>Кабачок Блэк цуккини (цилиндрич, темно-зелен, интенсивное плодонош.). Евро, 2</t>
  </si>
  <si>
    <t>Кабачок Блэк цуккини (цилиндрич, темно-зелен, интенсивное плодонош.). МФ, 2</t>
  </si>
  <si>
    <t>Кабачок Боцман F1 (округлый! темно-зеленый, высокоурожайн, для фаршировки). Евро, 2</t>
  </si>
  <si>
    <t>Кабачок Буржуин F1 (округлый! темно-зеленый, высокоурожайн, для фаршировки). Евро, 2</t>
  </si>
  <si>
    <t>Кабачок Ванюша® F1 (цилиндрич, светло-зеленый, обильное плодонош., стандарт!). Евро, 2</t>
  </si>
  <si>
    <t>Кабачок Весёлые ребята (цилиндрич, разной окраски, неприхотлив в выращивании). Евро, 2</t>
  </si>
  <si>
    <t>Кабачок Гольда® F1 (цилиндрич, ярко-золотисто-оранж, обильное плодонош). Евро, 1</t>
  </si>
  <si>
    <t>Кабачок Горный (цилиндрич, бело-кремовый, стабильный урожай). Евро, 2</t>
  </si>
  <si>
    <t>Кабачок Грибовские 37 (цилиндрич, белый, устойч. к болезням). Евро, 2</t>
  </si>
  <si>
    <t>Кабачок Грибовские 37 (цилиндрич, белый, устойч. к болезням). МФ, 2</t>
  </si>
  <si>
    <t>Кабачок Грэй цуккини (цилиндрич, серо-зеленый, неприхотлив). Евро, 2</t>
  </si>
  <si>
    <t>Кабачок Грэй цуккини (цилиндрич, серо-зеленый, неприхотлив). МФ, 2</t>
  </si>
  <si>
    <t>Кабачок Желтоплодный (цилиндрич, ярко-желтый, обильн. плодонош). Евро, 2</t>
  </si>
  <si>
    <t>Кабачок Желтоплодный (цилиндрич, ярко-желтый, обильн. плодонош). МФ, 2</t>
  </si>
  <si>
    <t>Кабачок Жёлтый банан F1 (цилиндрич, ярко-желтый, обильн. плодонош). Евро, 1</t>
  </si>
  <si>
    <t>I0000002499</t>
  </si>
  <si>
    <t>Кабачок Жираф F1 (удлиненно-булавовидн, ярко-желтый, жаростойкий). Евро, 1</t>
  </si>
  <si>
    <t>Кабачок Застольный (цилиндрич, светло-салатовый, обильное плодонош). Евро, 2</t>
  </si>
  <si>
    <t>Кабачок Застольный светлый (цилиндрич, светло-салатовый, обильное плодонош). Евро, 2</t>
  </si>
  <si>
    <t>Кабачок Застольный светлый (цилиндрич, светло-салатовый, обильное плодонош). МФ, 2</t>
  </si>
  <si>
    <t>Кабачок Зебра (цилиндрич, светло-зелёный, устойчив к мучнистой росе). Евро, 2</t>
  </si>
  <si>
    <t>Кабачок Золотинка (цилиндрич, золотисто-желтый, устойчив к мучнистой росе). Евро, 2</t>
  </si>
  <si>
    <t>Кабачок Карина (цилиндрич, темно-зеленый, обильное плодонош). Евро, 2</t>
  </si>
  <si>
    <t>Кабачок Касерта (цилиндрич, зелёный, обильное плодонош). Евро, 2</t>
  </si>
  <si>
    <t>Кабачок Касерта (цилиндрич, зелёный, обильное плодонош). МФ, 2</t>
  </si>
  <si>
    <t>Кабачок Консервный белый (цилиндрич, белый, холодостокий). Евро, 2</t>
  </si>
  <si>
    <t>Кабачок Консервный белый (цилиндрич, белый, холодостокий). МФ, 2</t>
  </si>
  <si>
    <t>Кабачок Кулинарный (овальный, бело-кремовый, засухоустойчив). Евро, 1</t>
  </si>
  <si>
    <t>Кабачок Макаронный (цилиндрич, кремово-желтый, высокие вкусовые качества). Евро, 1</t>
  </si>
  <si>
    <t>Кабачок Маркиза (цилиндрич, темно-зеленый, высокая урожайность). Евро, 2</t>
  </si>
  <si>
    <t>Кабачок МАТРОС (цилиндрич, зеленый, холодостойкий). Евро, 2</t>
  </si>
  <si>
    <t>Кабачок Маша® F1 (ХИТ! цилиндрич, бело-салатовый, обильное плодонош. Стандарт!). Евро, 1</t>
  </si>
  <si>
    <t>Кабачок Мечта хозяйки F1 (цилиндрич, белый, холодостойкий). Евро, 2</t>
  </si>
  <si>
    <t>Кабачок Нефрит (цилиндрич, темно-зеленый, плодоносит все лето). Евро, 2</t>
  </si>
  <si>
    <t>Кабачок Повариха F1 (округлый! светло-зелёный, высокая урожайность, для фаршировки). Евро, 1</t>
  </si>
  <si>
    <t>I0000002403</t>
  </si>
  <si>
    <t>Кабачок Принц F1 (цилиндрич, светло-зелёный, засухоустойчивый). Евро, 1</t>
  </si>
  <si>
    <t>Кабачок Спагетти (овально-цилиндрич, светло-кремово-желтый, устойч. к болезням). Евро, 1</t>
  </si>
  <si>
    <t>Кабачок Спагетти (овально-цилиндрич, светло-кремово-желтый, устойч. к болезням). МФ, 1</t>
  </si>
  <si>
    <t>Кабачок Тёща хлебосольная F1 (округлый! Светло-зелёный, очень урожайный, для фаршировки). Евро, 1</t>
  </si>
  <si>
    <t>Кабачок Удача F1 (цилиндрич, серо-зеленый, длительный период плодонош). Евро, 2</t>
  </si>
  <si>
    <t>Кабачок Фермер ДжанF1 (цилиндрич, светло-зелёный, высокоурожайный). Евро, 2</t>
  </si>
  <si>
    <t>Кабачок Цукеша (цилиндрич, зелёный, обильное плодонош.). Евро, 2, г</t>
  </si>
  <si>
    <t>Кабачок Цукеша (цилиндрич, зелёный, обильное плодонош.). МФ, 2</t>
  </si>
  <si>
    <t>Кабачок Чёрный красавец (цилиндрич, темно-зеленый, высокоурожайн). Евро, 2</t>
  </si>
  <si>
    <t>Кабачок Чёрный красавец (цилиндрич, темно-зеленый, высокоурожайн). МФ, 2</t>
  </si>
  <si>
    <t>Кабачок Чудо оранжевое ® F1 (цилиндрич, оранжево-желтые, обильное плодонош.). Евро, 1</t>
  </si>
  <si>
    <t>Кабачок ЭмбэссиF1 (цилиндрич, зелёный, интенсивное плодообразование). Евро, 1,5</t>
  </si>
  <si>
    <t>Кабачок Якорь (цилиндрич, светло-желтый, высокая лежкость). Евро, 2</t>
  </si>
  <si>
    <t>Кабачок Якорь (цилиндрич, светло-желтый, высокая лежкость). МФ, 2</t>
  </si>
  <si>
    <t>КАПУСТА</t>
  </si>
  <si>
    <t>капуста Азиатский экспресс F1 (Б/К) (ран.спел.,окр.-овал.,1-1,2 кг). Евро, 0,05</t>
  </si>
  <si>
    <t>капуста Айсберг F1 (Б/К)  (поздн.спел.,окр.,3-4 кг). Евро, 0,1</t>
  </si>
  <si>
    <t>капуста Амагер 611 (Б/К)  (поздн.спел.,окр.-плоск.,2,4-4 кг). Евро, 0,5</t>
  </si>
  <si>
    <t>капуста Амагер 611 (Б/К)  (поздн.спел.,окр.-плоск.,2,4-4 кг). МФ, 0,5</t>
  </si>
  <si>
    <t>капуста Атрия F1 (Б/К) (поздн.спел.,окр.-плоск.,4-8 кг). Евро, 10</t>
  </si>
  <si>
    <t>капуста Бабушкин секрет (Б/К) (ср.спел.,плоск.-округл., до 6 кг). Евро, 0,5</t>
  </si>
  <si>
    <t>капуста Белая головушка® (ЦВ)(ХИТ! ср.спел.,эллиптич., 0,8-1,1 кг). Евро, 0,5</t>
  </si>
  <si>
    <t>капуста Белая головушка® (ЦВ)(ХИТ! ср.спел.,эллиптич., 0,8-1,1 кг). МФ, 0,5</t>
  </si>
  <si>
    <t>капуста Белорусская 455 (Б/К) (ср.спел.,окр., ,1,3-4,1 кг). Евро, 0,5</t>
  </si>
  <si>
    <t>капуста Боксёр (К/К) (ран.спел.,окр., до 1,6 кг). Евро, 0,5</t>
  </si>
  <si>
    <t>капуста Боксёр (К/К) (ран.спел.,окр., до 1,6 кг). МФ, 0,5</t>
  </si>
  <si>
    <t>капуста Бэлла F1 (Б/К) (скороспел.,окр., 0,9-2 кг.). Евро, 0,1</t>
  </si>
  <si>
    <t>капуста Валентина F1 (Б/К) (поздн.спел.,окр.,3,2-3,8 кг). Евро, 0,1</t>
  </si>
  <si>
    <t>капуста Ванила Айс (ЦВ) (ран.спел.,окр.-плоск.,0,8-1 кг). Евро, 0,5</t>
  </si>
  <si>
    <t>I0000002395</t>
  </si>
  <si>
    <t>капуста Венера F1 (БРОК) (ран.спел.,окр.,0,35-0,6 кг). Евро, 0,05</t>
  </si>
  <si>
    <t>капуста Венская белая 1350 (КОЛЬ) (скороспел.,окр.,2,5-3 кг). Евро, 0,5</t>
  </si>
  <si>
    <t>капуста Венская белая 1350 (КОЛЬ) (скороспел.,окр.,2,5-3 кг). МФ, 0,5</t>
  </si>
  <si>
    <t>капуста Вертус (САВ) (скороспел.,окр., до 3 кг). Евро, 1</t>
  </si>
  <si>
    <t>капуста Вертус (САВ) (скороспел.,окр., до 3 кг). МФ, 1</t>
  </si>
  <si>
    <t>капуста Веселая Компания (БРЮС) красная (ср.-ран.,эллипсовидн.,10-12 г.). Евро, 0,3</t>
  </si>
  <si>
    <t>капуста Веселая Компания (БРЮС) красная (ср.-ран.,эллипсовидн.,10-12 г.). МФ, 0,3</t>
  </si>
  <si>
    <t>капуста Весенний Нефрит F1 (ПЕК) (ран.спел.,овал.,2-3 кг). Евро, 0,3</t>
  </si>
  <si>
    <t>капуста Весенняя Красавица (ПЕК) (ран.спел.,овал.,до 2 кг). Евро, 0,3</t>
  </si>
  <si>
    <t>капуста Взрыв F1  (Б/К) (ХИТ! ультраскороспел.,окр.,1,3-1,5 кг). Евро, 0,1</t>
  </si>
  <si>
    <t>капуста Виолета (КОЛЬ) (поздн.спел.,окр.-плоск.,1,5-2 кг). Евро, 1</t>
  </si>
  <si>
    <t>капуста Внучка F1® (Б/К) (скоро.спел.,окр.-плоск.,1-1,3 кг). Евро, 0,3</t>
  </si>
  <si>
    <t>капуста Восточный экспресс F1(б/к) (ультраскороспел.,окр.,1,3-1,5 кг). Евро, 0,05</t>
  </si>
  <si>
    <t>капуста Вспышка F1 ® (Б/К) (ХИТ! ультраскороспел.,окр.,1,5-2 кг). Евро, 0,1</t>
  </si>
  <si>
    <t>капуста Вьюга ( Б/К ) (поздн.спел.,окр.,до 3 кг). Евро, 0,5</t>
  </si>
  <si>
    <t>капуста Вьюга ( Б/К ) (поздн.спел.,окр.,до 3 кг). МФ, 0,5</t>
  </si>
  <si>
    <t>I0000002891</t>
  </si>
  <si>
    <t>капуста Гаага F1 (б/к) (ср.спел.,окр.-овал.,4-4,5 кг). Евро, 0,05</t>
  </si>
  <si>
    <t>капуста Гарантия (ЦВ) (скороспел.,окр.-плоск., 0,4-0,8 кг). Евро, 0,5</t>
  </si>
  <si>
    <t>капуста Гарантия (ЦВ) (скороспел.,окр.-плоск., 0,4-0,8 кг). МФ, 0,5</t>
  </si>
  <si>
    <t>капуста Гигант (КОЛЬ) (поздн.спел.,окр.,2,5-3 кг). Евро, 0,5</t>
  </si>
  <si>
    <t>I0000002392</t>
  </si>
  <si>
    <t>капуста Глоба (Б/К) (ср.спел.,окр.,4-5 кг). Евро, 0,05</t>
  </si>
  <si>
    <t>капуста Гном (БРОК) (ХИТ! ср.спел.,окр.-овал., 0,4-0,5 кг). Евро, 0,5</t>
  </si>
  <si>
    <t>капуста Гном (БРОК) (ХИТ! ср.спел.,окр.-овал., 0,4-0,5 кг). МФ, 0,5</t>
  </si>
  <si>
    <t>капуста Голуба F1 (пак-чой) (ср.спел.,окр., 1-1,5 кг). Евро, 0,3</t>
  </si>
  <si>
    <t>капуста Голубая Планета F1 (КОЛЬ) (ср.спел.,окр.-плоск., 0,15-0,25 кг). Евро, 1</t>
  </si>
  <si>
    <t>капуста Голубая Планета F1 (КОЛЬ) (ср.спел.,окр.-плоск., 0,15-0,25 кг). МФ, 1</t>
  </si>
  <si>
    <t>капуста Деликатесная красная (КОЛЬ) (ср.ран.,окр., до 2,5 кг). Евро, 1</t>
  </si>
  <si>
    <t>капуста Деликатесное Застолье F1(ПЕК) (смесь ран.сортов, овал/эллипс./цилиндр., 1,5-2,5 кг). Евро, 0,3</t>
  </si>
  <si>
    <t>I0000002239</t>
  </si>
  <si>
    <t>капуста Диана F1 (ЦВ)  (ранний,окр., 0,35-0,5 кг). Евро, 0,05</t>
  </si>
  <si>
    <t>капуста Дочка F1 (Б/К)  (скороспел.,окр., 0,8-1,2 кг). Евро, 0,3</t>
  </si>
  <si>
    <t>капуста Дружная семейка (БРЮС) (0,3 г)  (ср.поздн.,окр.-овал., 10-15 г). Евро, 0,3</t>
  </si>
  <si>
    <t>капуста Дублер F1 (Б/К)  (поздн.спел.,овал., 2-4 кг). Евро, 0,1</t>
  </si>
  <si>
    <t>капуста Дюма F1 (Б/К)  (ультраскороспел.,окр.,0,8-1,5 кг). Евро, 0,05</t>
  </si>
  <si>
    <t>капуста Женева F1 (Б/К) (поздн.спел.,округл., 3-4 кг). Евро, 0,05</t>
  </si>
  <si>
    <t>капуста Залп F1 (Б/К) (ср.спел.,окр.-плоск., до 3 кг). Евро, 0,3</t>
  </si>
  <si>
    <t>капуста Залп F1 (Б/К) (ср.спел.,окр.-плоск., до 3 кг). МФ, 0,3</t>
  </si>
  <si>
    <t>I0000002511</t>
  </si>
  <si>
    <t>капуста Зевс F1 ( К/К) (ср.поздн.,окр., 1,7-2 кг). Евро, 0,05</t>
  </si>
  <si>
    <t>капуста Зефир F1 (Б/К) (ран.спел.,окр., 0,8-1,5 кг). МФ, 0,3</t>
  </si>
  <si>
    <t>капуста Зима F1 (Б/К) (поздн.спел.,окр., 3-5 кг). Евро, 0,1</t>
  </si>
  <si>
    <t>капуста Зимний Деликатес (САВ) (поздн.спел.,окр.-плоск., 1,5-2 кг). Евро, 1</t>
  </si>
  <si>
    <t>капуста Зимний Деликатес (САВ) (поздн.спел.,окр.-плоск., 1,5-2 кг). МФ, 1</t>
  </si>
  <si>
    <t>капуста Зимняя Голова F1 (Б/К) (поздн.спел.,окр., 3,5-4,5 кг). Евро, 0,1</t>
  </si>
  <si>
    <t>капуста Зимовка 1474 (Б/К) (поздн.спел.,окр.-плоск., 3-5 кг). Евро, 0,5</t>
  </si>
  <si>
    <t>капуста Зимовка 1474 (Б/К) (поздн.спел.,окр.-плоск., 3-5 кг). МФ, 0,5</t>
  </si>
  <si>
    <t>капуста Золотой Гектар 1432 (Б/К) (ран.спел.,окр., 1,5-2,5 кг). Евро, 0,5</t>
  </si>
  <si>
    <t>капуста Золотой Гектар 1432 (Б/К) (ран.спел.,окр., 1,5-2,5 кг). МФ, 0,5</t>
  </si>
  <si>
    <t>капуста Зося F1 (Б/К) (ср.спел.,окр.-плоск., 3-3,5 кг). МФ, 0,3</t>
  </si>
  <si>
    <t>капуста Изумрудная головушка (ЦВ)  (поздн.спел.,окр.-плоск., 1,2-1,6 кг). Евро, 0,5</t>
  </si>
  <si>
    <t>I0000014718</t>
  </si>
  <si>
    <t>капуста Ингрид (лист)  (ср.поздн.,листья т.зелен. до 80 см). Евро, 0,3</t>
  </si>
  <si>
    <t>капуста Ира F1 (Б/К) (ран.спел.,окр., 1-1,2 кг). Евро, 0,1</t>
  </si>
  <si>
    <t>капуста Июньская (Б/К) (скороспел.,окр., 1,6-2,5 кг.). Евро, 0,5</t>
  </si>
  <si>
    <t>капуста Июньская (Б/К) (скороспел.,окр., 1,6-2,5 кг.). МФ, 0,5</t>
  </si>
  <si>
    <t>капуста Казачок F1 (Б/К) (скороспел.,окр., 0,8-1,2 кг.). Евро, 0,1</t>
  </si>
  <si>
    <t>капуста Каменна глова (Б/К)  (поздн.спел.,окр., 3-3,5 кг). Евро, 0,5</t>
  </si>
  <si>
    <t>капуста Каменная  голова (Б/К)  (ХИТ! поздн.спел.,окр., 3-3,5 кг). Евро, 0,5</t>
  </si>
  <si>
    <t>капуста Каменная головка 447 (К/К) (ср.спел.,окр., 1,2-2,5 кг). Евро, 0,5</t>
  </si>
  <si>
    <t>капуста Каменная головка 447 (К/К) (ср.спел.,окр., 1,2-2,5 кг). МФ, 0,5</t>
  </si>
  <si>
    <t>капуста Катюша F1 (Б/К) (поздн.спел.,окр., 1,8-3 кг). Евро, 0,1</t>
  </si>
  <si>
    <t>капуста Катюша F1 (Б/К) (поздн.спел.,окр., 1,8-3 кг). МФ, 0,1</t>
  </si>
  <si>
    <t>капуста Китайская отборная F1 (ПЕК) (поздн.спел.,окр., 1,8-3 кг). Евро, 0,3</t>
  </si>
  <si>
    <t>капуста Китайская отборная F1 (ПЕК) (поздн.спел.,окр., 1,8-3 кг). МФ, 0,3</t>
  </si>
  <si>
    <t>капуста Колобок F1 (Б/К) (поздн.спел.,окр., 4-5 кг). Евро, 0,1</t>
  </si>
  <si>
    <t>капуста Красивая головушка ( ЦВ ) (ср.спел.,пирамид., 0,8-1,1 кг). Евро, 0,5</t>
  </si>
  <si>
    <t>капуста Красная голова (К/К) (ср.поздн.,окр., ). Евро, 0,5</t>
  </si>
  <si>
    <t>капуста Кудрявая Голова® (БРОК) (ХИТ! ран.спел.,окр., 0,4-0,6 кг). Евро, 0,5</t>
  </si>
  <si>
    <t>капуста Кухарка F1® (Б/К) (ХИТ! ср.спел.,окр.-плоск., до 5 кг). Евро, 0,3</t>
  </si>
  <si>
    <t>капуста Кухарка F1® (Б/К) (ХИТ! ср.спел.,окр.-плоск., до 5 кг). МФ, 0,3</t>
  </si>
  <si>
    <t>капуста Лангедейкер Зимний (К/К) (поздн.спел.,окр., 2,5-3,2 кг). Евро, 0,5</t>
  </si>
  <si>
    <t>капуста Лангедейкер Зимний (К/К) (поздн.спел.,окр., 2,5-3,2 кг). МФ, 0,5</t>
  </si>
  <si>
    <t>капуста Лангедейкер Ларес (Б/К) (поздн.спел.,окр., 1,6-2,4 кг). Евро, 0,5</t>
  </si>
  <si>
    <t>капуста Лёжкая зимняя (Б/К) (поздн.спел.,окр., 3-5 кг). Евро, 0,5</t>
  </si>
  <si>
    <t>капуста Леннокс F1 (Б/К) (поздн.спел.,окр., 1,6-2,4 кг). Евро, 15</t>
  </si>
  <si>
    <t>капуста Лето-Осень F1 (Б/К) (смесь луч. гибрид. сортов) (ран./ср.спел., окр/окр.-плоск., 0,8-2,5 кг.). Евро, 0,3</t>
  </si>
  <si>
    <t>капуста Линда (БРОК) (ср.спел.,окр., 0,3-0,4 кг). Евро, 0,3</t>
  </si>
  <si>
    <t>I0000002273</t>
  </si>
  <si>
    <t>капуста Лозанна F1 (б/к)  (поздн.спел.,окр., 3-4 кг). Евро, 0,05</t>
  </si>
  <si>
    <t>капуста Людмила F1 (К/К) (ср.спел.,окр., 1,5-2 кг). Евро, 0,1</t>
  </si>
  <si>
    <t>капуста Людмила F1 (К/К) (ср.спел.,окр., 1,5-2 кг). МФ, 0,1</t>
  </si>
  <si>
    <t>I0000001088</t>
  </si>
  <si>
    <t>капуста Мадонна F1 (брок) (ср.спел.,окр., 0,3-0,4 кг). Евро, 0,1</t>
  </si>
  <si>
    <t>I0000001166</t>
  </si>
  <si>
    <t>капуста Малима F1 (ЦВ) 0,1 (оч.ран.,окр.-плоск., 0,38-0,5 кг). Евро, 0,1</t>
  </si>
  <si>
    <t>капуста Мама F1 (Б/К) (поздн.спел.,окр.-плоск., 2,5-3 кг). Евро, 0,1</t>
  </si>
  <si>
    <t>капуста Машенька F1 (Б/К) (ср.спел.,окр.-плоск., 2,5-4,5 кг). Евро, 0,1</t>
  </si>
  <si>
    <t>капуста Менза F1 (Б/К) (ср.спел.,окр.-плоск., 4-9 кг). Евро, 0,05</t>
  </si>
  <si>
    <t>капуста Мила F1 (пак-чой)  (оч.ран., лист округл.). Евро, 0,3</t>
  </si>
  <si>
    <t>капуста Мисс Китая (ПЕК) (ран.спел.,цилиндр., 1,5-2,5 кг). Евро, 0,3</t>
  </si>
  <si>
    <t>I0000002398</t>
  </si>
  <si>
    <t>капуста Мона Лиза F1 (ЦВ)  (ср.спел.,окр.-плоск., 0,8-1 кг). Евро, 0,05</t>
  </si>
  <si>
    <t>капуста Монарх  F1 (Б/К) (поздн.спел.,окр., 1,5-3 кг). Евро, 0,1</t>
  </si>
  <si>
    <t>капуста Монарх  F1 (Б/К) (поздн.спел.,окр., 1,5-3 кг). МФ, 0,1</t>
  </si>
  <si>
    <t>I0000002275</t>
  </si>
  <si>
    <t>капуста Монблан F1 (Б/К)  (ср.спел.,окр., 4-5 кг). Евро, 0,05</t>
  </si>
  <si>
    <t>капуста Московская поздняя 9 (Б/К) (поздн.спел.,окр.,  5-8 кг). Евро, 0,5</t>
  </si>
  <si>
    <t>капуста Надежда (Б/К) (ср.спел.,окр.-плоск., до 5 кг. ). Евро, 0,5</t>
  </si>
  <si>
    <t>капуста Надежда (Б/К) (ср.спел.,окр.-плоск., до 5 кг. ). МФ, 0,5</t>
  </si>
  <si>
    <t>капуста Надя (САВ) (поздн.спел.,окр., 1,8-3 кг). Евро, 1</t>
  </si>
  <si>
    <t>капуста Наина F1 (ПЕК) (ран.спел.,овал., до 2 кг). Евро, 0,3</t>
  </si>
  <si>
    <t>капуста Наина F1 (ПЕК) (ран.спел.,овал., до 2 кг). МФ, 0,3</t>
  </si>
  <si>
    <t>I0000001199</t>
  </si>
  <si>
    <t>капуста Наташа F1 (Б/К)  (ср.ран.,окр., 1-1,2 кг). Евро, 0,1</t>
  </si>
  <si>
    <t>капуста Находка (Б/К) (скороспел.,окр., 1-1,5 кг). Евро, 1</t>
  </si>
  <si>
    <t>капуста Находка (Б/К) (скороспел.,окр., 1-1,5 кг). МФ, 1</t>
  </si>
  <si>
    <t>I0000001200</t>
  </si>
  <si>
    <t>капуста Невестка F1 (Б/К)  (ран.спел.,окр., 1,1 кг). Евро, 0,1</t>
  </si>
  <si>
    <t>капуста Нежность F1 (ПЕК) (ран.спел.,эллиптическ., 0,3-0,5 кг). Евро, 0,3</t>
  </si>
  <si>
    <t>I0000012635</t>
  </si>
  <si>
    <t>капуста Ницца F1 (КОЛЬ) (ран.спел.,окр.-плоск., до 0,7 кг). Евро, 0,05</t>
  </si>
  <si>
    <t>капуста Номер Первый Грибовский 147 (Б/К) (ран.спел.,окр., 0,9-2,2 кг). Евро, 0,5</t>
  </si>
  <si>
    <t>I0000014719</t>
  </si>
  <si>
    <t>капуста Оливер (лист)  (ср.поздн., листья до 60 см.). Евро, 0,3</t>
  </si>
  <si>
    <t>капуста Оранжевое Сердце F1 (ПЕК) (ср.спел.,овал., до 3 кг). Евро, 0,3</t>
  </si>
  <si>
    <t>капуста Осенний Гигант (ЦВ) (ср.спел.,окр., 0,7-0,85 кг). Евро, 0,5</t>
  </si>
  <si>
    <t>капуста Осенний Гигант (ЦВ) (ср.спел.,окр., 0,7-0,85 кг). МФ, 0,5</t>
  </si>
  <si>
    <t>капуста Осенний Нефрит (ПЕК) F1 (ран.спел.,удл.-цилиндр., 1,2-3,5 кг). Евро, 0,5</t>
  </si>
  <si>
    <t>капуста Осенняя Красавица F1 (ПЕК) (ср.спел.,продолгов., 1,6-2,4 кг). Евро, 0,3</t>
  </si>
  <si>
    <t>капуста Осенняя Красавица F1 (ПЕК) (ср.спел.,продолгов., 1,6-2,4 кг). МФ, 0,3</t>
  </si>
  <si>
    <t>капуста Осенняя Превосходная F1(ПЕК) (ср.поздн.,цилиндр., до 4 кг). Евро, 0,3</t>
  </si>
  <si>
    <t>капуста Отечественная (ЦВ) (ср.ран.,окр.-плоск., 07-1 кг). Евро, 0,5</t>
  </si>
  <si>
    <t>капуста Отечественная (ЦВ) (ср.ран.,окр.-плоск., 07-1 кг). МФ, 0,5</t>
  </si>
  <si>
    <t>капуста Первая любовь F1 (Б/К) (оч.ран., окр., 0,9-1 кг). Евро, 0,3</t>
  </si>
  <si>
    <t>капуста Первые Витамины (ПЕК)(смесь ран. сортов,овал./цилиндр./эллептич., 1,2-2 кг). Евро, 0,3</t>
  </si>
  <si>
    <t>капуста Пикант (КОЛЬ) (скороспел.,окр.). Евро, 1</t>
  </si>
  <si>
    <t>капуста Пикант (КОЛЬ) (скороспел.,окр.). МФ, 1</t>
  </si>
  <si>
    <t>капуста Пирожковая (САВ) (ран.спел.,конусовидн., 0,8-1 кг). Евро, 0,5</t>
  </si>
  <si>
    <t>капуста Пирожковая (САВ) (ран.спел.,конусовидн., 0,8-1 кг). МФ, 0,5</t>
  </si>
  <si>
    <t>капуста Подарок  (Б/К) (ср.поздн. окр.-плоск., 2,6-4,6 кг). Евро, 0,5</t>
  </si>
  <si>
    <t>капуста Подарок  (Б/К) (ср.поздн. окр.-плоск., 2,6-4,6 кг). МФ, 0,5</t>
  </si>
  <si>
    <t>капуста Престиж F1 (Б/К) (поздн.спел.,окр., 2-2,6 кг). Евро, 0,1</t>
  </si>
  <si>
    <t>капуста Принцесса F1 (Раннего Рынка)  (Б/К) (ультраскоросп.,окр., 0,9-1 кг). Евро, 0,25</t>
  </si>
  <si>
    <t>I0000002063</t>
  </si>
  <si>
    <t>капуста Прометей F1 (К/К)  (ср.спел.,окр., 1,8-2 кг). Евро, 0,05</t>
  </si>
  <si>
    <t>капуста Пурпурная головушка (ЦВ)  (поздн.спел.,плоск.-окр., 1,1-1,5 кг). Евро, 0,5</t>
  </si>
  <si>
    <t>капуста Разносол F1  (Б/К) (ср.спел.,окр., 2,5-3 кг). Евро, 0,1</t>
  </si>
  <si>
    <t>капуста Ранняя Фантазия F1 (Б/К) (смесь ран./оч.ран. сортов, окр./окр.-плоск.,0,8-2,5 кг.). Евро, 0,3</t>
  </si>
  <si>
    <t>капуста Ринда F1 (Б/К) (ср.спел.,окр., до 8 кг). Евро, 10</t>
  </si>
  <si>
    <t>капуста Роберт (ЦВ) (ран.спел.,окр., 0,8-1,3 кг). Евро, 0,5</t>
  </si>
  <si>
    <t>капуста Роберт (ЦВ) (ран.спел.,окр., 0,8-1,3 кг). МФ, 0,5</t>
  </si>
  <si>
    <t>I0000014720</t>
  </si>
  <si>
    <t>капуста Розмари (лист)  (ср.-поздн., листья до 100 см.). Евро, 0,3</t>
  </si>
  <si>
    <t>капуста Рубин (К/К) (ср.спел.,окр, 1,5-2 кг). Евро, 0,5</t>
  </si>
  <si>
    <t>капуста Русалочка (ЯП)  (ср.спел.,листья узкие, 0,45-0,6 кг). Евро, 0,5</t>
  </si>
  <si>
    <t>капуста Русская Зима F1® (Б/К) (поздн.спел.,окр.-плоск., 2,5-3,5 кг). Евро, 0,1</t>
  </si>
  <si>
    <t>капуста Русский борщ (Б/К)  (ср.спел.,плоск., 2-4 кг). Евро, 0,5</t>
  </si>
  <si>
    <t>капуста Санда (БРЮС) (0,3 г) (ср.поздн., до 40 кочанчиков окр.-овал., до 15 г.). Евро, 0,3</t>
  </si>
  <si>
    <t>капуста Сахарная Голова® (Б/К) (ХИТ! поздн.спел.,окр., 3-3,5 кг). Евро, 0,5</t>
  </si>
  <si>
    <t>I0000014111</t>
  </si>
  <si>
    <t>капуста Сахарная Гора F1 (Б/К) (поздн.спел.,окр.,плотн., 2,5-4 кг, для кваш., и дл.хран). Евро, 0,05</t>
  </si>
  <si>
    <t>I0000000155</t>
  </si>
  <si>
    <t>капуста Сахарный Шар F1 (Б/К) (ран.спел.,окр., 1-1,5 кг). Евро, 0,05</t>
  </si>
  <si>
    <t>капуста Свекровь F1 (Б/К) (ср.спел.,окр.-плоск., 1,5-2 кг). Евро, 0,25</t>
  </si>
  <si>
    <t>капуста Свекровь F1 (Б/К) (ср.спел.,окр.-плоск., 1,5-2 кг). МФ, 0,25</t>
  </si>
  <si>
    <t>капуста Сентябрина F1 (ПЕК) (скороспел.,окр., 0,8-1,5 кг). Евро, 0,3</t>
  </si>
  <si>
    <t>капуста Сердце Буйвола (Б/К)(скороспел.,конусов., 1-1,5 кг). Евро, 0,5</t>
  </si>
  <si>
    <t>I0000002234</t>
  </si>
  <si>
    <t>капуста Серебряный Шар F1 (ЦВ) (поздн.спел.,окр., 1,2-1,5 кг). Евро, 0,05</t>
  </si>
  <si>
    <t>капуста Сизая голубка (К/К)(ср.спел.,окр.,до 1,6 кг.). Евро, 0,5</t>
  </si>
  <si>
    <t>капуста Сизая голубка (К/К)(ср.спел.,окр.,до 1,6 кг.). МФ, 0,5</t>
  </si>
  <si>
    <t>капуста Сказка F1 (Б/К)(ср.ран.,окр., 2-2,5 кг). Евро, 0,1</t>
  </si>
  <si>
    <t>капуста Скороспелая (Б/К) (пан.спел..,окр., 0,9-1,3 кг). Евро, 0,5</t>
  </si>
  <si>
    <t>капуста Скороспелка (Б/К)(ультраскоросп.,окр., 0,8-1,5 кг). Евро, 0,5</t>
  </si>
  <si>
    <t>капуста Слава 1305 (Б/К)(ср.спел.,окр., 2,4-4,5 кг). Евро, 0,5</t>
  </si>
  <si>
    <t>капуста Смак (КОЛЬ)(ран.спел.,окр.-плоск., 0,5-0,7 кг). Евро, 1</t>
  </si>
  <si>
    <t>I0000001089</t>
  </si>
  <si>
    <t>капуста Снегурочка F1 (ЦВ) (оч.ран., окр., до 2 кг.). Евро, 10</t>
  </si>
  <si>
    <t>капуста Снежана (ЦВ)(ультраскоросп.,окр., 0,8-0,95 кг). Евро, 0,3</t>
  </si>
  <si>
    <t>капуста Снежана (ЦВ)(ультраскоросп.,окр., 0,8-0,95 кг). МФ, 0,3</t>
  </si>
  <si>
    <t>капуста Снежная Королева F1 (ЦВ)(поздн.спел.,окр.-плоск., 1,1-1,5 кг). Евро, 0,1</t>
  </si>
  <si>
    <t>капуста Снежный Шар (ЦВ)(ср.спел.,окр., 0,7-0,85 кг). Евро, 0,5</t>
  </si>
  <si>
    <t>капуста Снежный Шар (ЦВ)(ср.спел.,окр., 0,7-0,85 кг). МФ, 0,5</t>
  </si>
  <si>
    <t>капуста Сноуболл 123 (ЦВ)(ср.ран.,окр.-плоск., 0,5-1 кг). Евро, 0,5</t>
  </si>
  <si>
    <t>капуста Сноуболл 123 (ЦВ)(ср.ран.,окр.-плоск., 0,5-1 кг). МФ, 0,5</t>
  </si>
  <si>
    <t>I0000002358</t>
  </si>
  <si>
    <t>капуста Спринтер F1 (Б/К)(ран.спел.,окр., 0,9-1 кг). Евро, 0,05</t>
  </si>
  <si>
    <t>I0000002355</t>
  </si>
  <si>
    <t>капуста Старт F1 (Б/К)(ран.спел.,окр., 0,8-1,1 кг). Евро, 0,05</t>
  </si>
  <si>
    <t>капуста Стряпуха F1® (Б/К)(ран.спел.,окр., 1,5-2 кг). Евро, 0,3</t>
  </si>
  <si>
    <t>капуста Тёща ®(Б/К)(ХИТ! ср.спел.,окр., 2,5-3 кг). Евро, 0,5</t>
  </si>
  <si>
    <t>капуста Тёща ®(Б/К)(ХИТ! ср.спел.,окр., 2,5-3 кг). МФ, 0,5</t>
  </si>
  <si>
    <t>капуста Тонус (БРОК)(оч.ран.,окр., 0,16-0,2 кг). Евро, 0,3</t>
  </si>
  <si>
    <t>капуста Трансфер F1 (Б/К)(ср.спел.,окр., 0,8-1,5 кг). Евро, 0,3</t>
  </si>
  <si>
    <t>I0000002510</t>
  </si>
  <si>
    <t>капуста Тулуза (Б/К)(ср.спел.,окр., 3,5-5 кг). Евро, 0,05</t>
  </si>
  <si>
    <t>капуста Ульяна F1 (Б/К)(поздн.спел.,окр., 2,5-3 кг). Евро, 0,1</t>
  </si>
  <si>
    <t>капуста Урожайная (Б/К)(ср.поздн.,окр.-плоск., 3-4,5 кг). Евро, 0,5</t>
  </si>
  <si>
    <t>капуста Фаворит F1 (Б/К)(ср.поздн.,окр.-плоск, 3-5 кг). Евро, 0,1</t>
  </si>
  <si>
    <t>капуста Харьковская Зимняя  (Б/К)(поздн.спел.,окр.-плоск., 3,5-4,2 кг). Евро, 0,5</t>
  </si>
  <si>
    <t>капуста Харьковская Зимняя  (Б/К)(поздн.спел.,окр.-плоск., 3,5-4,2 кг). МФ, 0,5</t>
  </si>
  <si>
    <t>капуста Цезарь F1 (БРОК)(ран.спел.,окр., 0,6-1 кг). Евро, 0,3</t>
  </si>
  <si>
    <t>капуста Цезарь F1 (БРОК)(ран.спел.,окр., 0,6-1 кг). МФ, 0,3</t>
  </si>
  <si>
    <t>капуста Четыре сезона (пак-чой)(ран.спел., листья окр., до 20 см.). Евро, 0,5</t>
  </si>
  <si>
    <t>капуста Четыре сезона (пак-чой)(ран.спел., листья окр., до 20 см.). МФ, 0,5</t>
  </si>
  <si>
    <t>капуста Экспресс F1 (Б/К)(ультраскоросп.,окр.,1,2-1,6 кг.). Евро, 0,3</t>
  </si>
  <si>
    <t>капуста Экспресс MC F1 (ЦВ) ( ран.спел.,окр.,0,35-0,5 кг.). Евро, 0,2</t>
  </si>
  <si>
    <t>капуста Экстра F1 (Б/К) (поздн.спел.,окр.-плоск.,2,5-2,8 кг.). Евро, 0,1</t>
  </si>
  <si>
    <t>КАРТОФЕЛЬ (СЕМЕНА)</t>
  </si>
  <si>
    <t>I0000012617</t>
  </si>
  <si>
    <t>картофель Ажур (ср.ран., удл.-овал.,кож.красн.,мяк.св.-желт.). Евро, 0,02</t>
  </si>
  <si>
    <t>картофель Ассоль (ран.спел., удл.-овал.,кож.светл.,мяк.св.-желт.). Евро, 0,02</t>
  </si>
  <si>
    <t>картофель Аусония (ран., удл.-овал.,кож.св.-желт.,мяк.св.-желт.). Евро, 0,02</t>
  </si>
  <si>
    <t>картофель Баллада (ср.спел., овал.,кож.бел.,мяк.св.-желт.). Евро, 0,02</t>
  </si>
  <si>
    <t>картофель Велина (ран.спел., удл.-овал.,кож.желт.,мяк.св.-желт.). Евро, 0,02</t>
  </si>
  <si>
    <t>картофель Дева (ср.спел., удл.-овал.,кож.кпасн.,мяк.св.-желт.). Евро, 0,02</t>
  </si>
  <si>
    <t>картофель Илона (ср.ран., удл.-овал.,кож.св.-желт.,мяк.бел.). Евро, 0,02</t>
  </si>
  <si>
    <t>картофель Императрица (ран.спел., удл.-овал.,кож.желт.,мяк.желт.). Евро, 0,02</t>
  </si>
  <si>
    <t>картофель Краса (ср.спел., овал.,кож.красн.,мяк.св.-желт.). Евро, 0,02</t>
  </si>
  <si>
    <t>картофель Лада F1 (ср.ран., окр.-овал.,кож.бел./св.-желт.,мяк.св.-желт.). Евро, 0,02</t>
  </si>
  <si>
    <t>I0000012619</t>
  </si>
  <si>
    <t>картофель Лидер (ран., окр.,кож.желт.,мяк.бел.). Евро, 0,02</t>
  </si>
  <si>
    <t>I0000012618</t>
  </si>
  <si>
    <t>картофель Маяк (ср.ран., овал.,кож.красн.,мяк.бел.). Евро, 0,02</t>
  </si>
  <si>
    <t>картофель Милена (оч.ран., окр.-овал.,кож.желт.-бел.,мяк.св.-желт.). Евро, 0,02</t>
  </si>
  <si>
    <t>картофель Реванш (ср.спел., окр.-овал.,кож.св.-желт.,мяк.св.-желт.). Евро, 0,02</t>
  </si>
  <si>
    <t>картофель Триумф (ран., удл.-овал.,кож.св.-желт.,мяк.кремов.). Евро, 0,02</t>
  </si>
  <si>
    <t>картофель Фермер (ран., удл.-овал.,кож.желт.,мяк.св.-желт.). Евро, 0,02</t>
  </si>
  <si>
    <t>КИВАНО</t>
  </si>
  <si>
    <t>I0000014539</t>
  </si>
  <si>
    <t>кивано Дикобраз  (однолетн.растен.,ср.спел.,ЗГ,овал.,150-200гр.). Евро, 3</t>
  </si>
  <si>
    <t>КОРИАНДР</t>
  </si>
  <si>
    <t>кориандр Восточный Аромат (ср.спел.,ярк.-зелен.,сильн.прян.аромат, 50-60 см.). Евро, 2</t>
  </si>
  <si>
    <t>кориандр Кинза пучковая(ран.спел.,зелен.,сильн.прян.аромат, 40-50 см.). Евро, 2</t>
  </si>
  <si>
    <t>кориандр Кинза-дза(ср.спел.,св.-зелен.,сильн.аромат, 40-50 см.). Евро, 2</t>
  </si>
  <si>
    <t>кориандр Кинза-дза(ср.спел.,св.-зелен.,сильн.аромат, 40-50 см.). МФ, 2</t>
  </si>
  <si>
    <t>I0000015632</t>
  </si>
  <si>
    <t>кориандр Кинзаули (ср.спел.,выс.45-50 см, ярк.-зелен.,прян.аромат,для салатов, суш. в кач. приправы). Евро, 2</t>
  </si>
  <si>
    <t>кориандр Король Рынка(ран.спел.,зелен.,сильн.прян.аромат, 40-50 см.). Евро, 2</t>
  </si>
  <si>
    <t>кориандр Прелесть(поздн.спел.,ярк.-зелен.,сильн.прян.аромат, 50-60 см.). МФ, 2</t>
  </si>
  <si>
    <t>кориандр Стимул(поздн.спел.,т.-зелен.,сильн.аромат, 25-30 см.). Евро, 2</t>
  </si>
  <si>
    <t>кориандр Янтарь(ср.спел.,св.-зелен.,сильн.аромат, 40-50 см.). Евро, 2</t>
  </si>
  <si>
    <t>КУКУРУЗА</t>
  </si>
  <si>
    <t>кукуруза Анава F1 (сахарная) (ран., почат.цилиндр.,30 см.,желт.,250-300 г.). Евро, 4</t>
  </si>
  <si>
    <t>кукуруза Внучкина Радость (поп-корн) (ск.спел., почат.сл.конич.,10-12 см.,оранж.,220-280 г.). Евро, 5</t>
  </si>
  <si>
    <t>кукуруза Воздушная (поп-корн) (ран.спел., почат.сл.конич.,14-16 см.,крем.-желт.,250-300 г.). Евро, 5</t>
  </si>
  <si>
    <t>кукуруза Гамма F1 (сахарная) (оч.ран., почат.цилиндр.,17-20 см.,св.желт.,200-250 г.). Евро, 4</t>
  </si>
  <si>
    <t>кукуруза Детский Вкус (сахарная) (ран.спел., почат.конич.,16-18 см.,желт.,130-150 г.). Евро, 5</t>
  </si>
  <si>
    <t>кукуруза Детский Вкус (сахарная) (ран.спел., почат.конич.,16-18 см.,желт.,130-150 г.). МФ, 5</t>
  </si>
  <si>
    <t>кукуруза Кубанская Консервная 148 (сахарная) (ср.ран., почат.сл.цилиндр.,18-22 см.,желт.,190-270 г.). Евро, 4</t>
  </si>
  <si>
    <t>кукуруза Кубанская Консервная 148 (сахарная) (ср.ран., почат.сл.цилиндр.,18-22 см.,желт.,190-270 г.). МФ, 4</t>
  </si>
  <si>
    <t>кукуруза Лакомка Белогорья (сахарная) (ран.спел., почат.сл.конич.,15-18 см.,желт.,150-200 г.). Евро, 5</t>
  </si>
  <si>
    <t>кукуруза Лакомка(сахарная) (ран.спел., почат.конич.,18-23 см.,желт.-оранж.,250-280 г.). Евро, 5</t>
  </si>
  <si>
    <t>кукуруза Лакомка(сахарная) (ран.спел., почат.конич.,18-23 см.,желт.-оранж.,250-280 г.). МФ, 5</t>
  </si>
  <si>
    <t>кукуруза Мадонна F1 (сахарная) (ран.спел., почат.конич.,18-20 см.,желт.,200-250 г.). Евро, 4</t>
  </si>
  <si>
    <t>кукуруза Мечта Гурмана ®(сахарная) (ХИТ! ран.спел., почат.цилиндр.,18-20 см.,желт.,200-250 г.). Евро, 5</t>
  </si>
  <si>
    <t>кукуруза Ника 353 (сахарная) (ср.спел., почат.цилиндр.,20-22 см.,желт.-оранж.,250-300 г.). Евро, 4</t>
  </si>
  <si>
    <t>кукуруза Ника 353 (сахарная) (ср.спел., почат.цилиндр.,20-22 см.,желт.-оранж.,250-300 г.). МФ, 4</t>
  </si>
  <si>
    <t>кукуруза Паломник (поп-корн) (ск.спел., почат.сл.конич.,12-14 см.,оранж.,150-180 г.). Евро, 5</t>
  </si>
  <si>
    <t>кукуруза Паломник (поп-корн) (ск.спел., почат.сл.конич.,12-14 см.,оранж.,150-180 г.). МФ, 5</t>
  </si>
  <si>
    <t>кукуруза Ранняя Лакомка 121(сахарная) (ран.спел., почат.конич.,14-16 см.,желт.-оранж.,170-230 г.). Евро, 4</t>
  </si>
  <si>
    <t>кукуруза Ранняя Лакомка 121(сахарная) (ран.спел., почат.конич.,14-16 см.,желт.-оранж.,170-230 г.). МФ, 4</t>
  </si>
  <si>
    <t>кукуруза Сахарная (сахарная) (ран.спел., почат.конус.,14-18 см.,желт.-оранж.,170-230 г.). Евро, 4</t>
  </si>
  <si>
    <t>кукуруза Сахарная (сахарная) (ран.спел., почат.конус.,14-18 см.,желт.-оранж.,170-230 г.). МФ, 4</t>
  </si>
  <si>
    <t>кукуруза Симпатия F1 (сахарная) (ран.спел., почат.конич.,15-17 см.,желт.,200-230 г.). Евро, 4</t>
  </si>
  <si>
    <t>кукуруза Симпатия F1 (сахарная) (ран.спел., почат.конич.,15-17 см.,желт.,200-230 г.). МФ, 4</t>
  </si>
  <si>
    <t>кукуруза Сладкоежка (сахарная) (ср.спел., почат.цилиндр.,20-22 см.,желт.-оранж.,250-300 г.). Евро, 4</t>
  </si>
  <si>
    <t>кукуруза Сладкоежка (сахарная) (ср.спел., почат.цилиндр.,20-22 см.,желт.-оранж.,250-300 г.). МФ, 4</t>
  </si>
  <si>
    <t>кукуруза Утренняя песня F1 (сахарная) (ран.спел., почат.цилиндр.,18-20 см.,оранж.,200-250 г.). Евро, 4</t>
  </si>
  <si>
    <t>кукуруза Утренняя песня F1 (сахарная) (ран.спел., почат.цилиндр.,18-20 см.,оранж.,200-250 г.). МФ, 4</t>
  </si>
  <si>
    <t>кукуруза Фаворит F1 (сахарная) (ср.ран., почат.цилиндр.,18-20 см.,св.желт.,200-250 г.). Евро, 4</t>
  </si>
  <si>
    <t>кукуруза Фаворит F1 (сахарная) (ср.ран., почат.цилиндр.,18-20 см.,св.желт.,200-250 г.). МФ, 4</t>
  </si>
  <si>
    <t>ЛАГЕНАРИЯ</t>
  </si>
  <si>
    <t>I0000013248</t>
  </si>
  <si>
    <t>лагенария Бутыль F1 (ср.спел., форм.бутыль,зелен.,30 см.). Евро, 0,5</t>
  </si>
  <si>
    <t>лагенария Секрет цилиндрическая(ср.спел.,цилиндр.,св.зелен., до 100 см.). Евро, 2</t>
  </si>
  <si>
    <t>ЛЕКАРСТВЕННЫЕ КУЛЬТУРЫ</t>
  </si>
  <si>
    <t>пряность Валериана Доктор Сердечный (лек.) (многол.лек.раст.,примен. как успок.,общеукрепл.ср-во). Евро, 0,05</t>
  </si>
  <si>
    <t>пряность Душица Радуга (лек.)(многол.прян.-аром.лек.раст.,примен. как успок.,ср-во). Евро, 0,05</t>
  </si>
  <si>
    <t>пряность Душица розовая Фея 0,05 г (лек.)(многол.прян.-аром.лек.раст.,примен. как успок.,антисептич.ср-во). Евро, 0,05</t>
  </si>
  <si>
    <t>пряность Календула  Семейный Доктор (лек.)(ран.спел.однолетн.раст.,примен.при заб.ЖКТ). Евро, 1</t>
  </si>
  <si>
    <t>пряность Подорожник Походный Доктор ланцетолистный (лек.)(многол.,примен. как кровоост.,бактерицидн.,ранозаживл.,гипотенз.,отх.ср-во). Евро, 0,2</t>
  </si>
  <si>
    <t>пряность Расторопша Доброго Здоровья пятнистая 0,2 (лек.)(лек./декорат.раст.,исп.для лечен.печени и ЖКТ). Евро, 0,2</t>
  </si>
  <si>
    <t>пряность Ромашка Ворожея (лек.)(однолетн.трав.раст.,примен. как противовосп.,спазмолит.,ветрогон.,дезинфецир.,потогон.,желчегон.,противозудн.лек.ср-во). Евро, 0,1</t>
  </si>
  <si>
    <t>пряность Тысячелистник Доктор (лек.)(многол.раст.,исп.при забол.ЖКТ, кровеносн.сист.). Евро, 0,05</t>
  </si>
  <si>
    <t>пряность Эхинацея Доктор Панацея пурпурная (лек.)(многол.лек.раст.,исп. как болеутол.,антисептич.ср-во). Евро, 0,1</t>
  </si>
  <si>
    <t>ЛУК</t>
  </si>
  <si>
    <t>лук Агро (репч. озимый) (ран.спел., окр.,желт./нас.бел.,полуостр.,180-200 г.). Евро, 0,5</t>
  </si>
  <si>
    <t>I0000002442</t>
  </si>
  <si>
    <t>лук Ажур (репч.) (ср.спел., окр.,св.коричн./бел.,полуостр.,150-200 г.). Евро, 1</t>
  </si>
  <si>
    <t>I0000001098</t>
  </si>
  <si>
    <t>лук АК1 (репч.) (ран.спел., окр.,желт./бел.,полуостр.,160-180 г.). Евро, 0,5</t>
  </si>
  <si>
    <t>I0000000882</t>
  </si>
  <si>
    <t>лук Аллигатор (ПОР) (поздн.спел., полуостр.,60-80 см.). Евро, 1</t>
  </si>
  <si>
    <t>I0000012590</t>
  </si>
  <si>
    <t>лук Апрельский (бат.) (ран.спел., т.зелен.,нежн.,сочн.,до 50 см.). Евро, 1</t>
  </si>
  <si>
    <t>лук Априор (ДУШ) 0,5 г (ср.спел.,вкус сл.-чесночн. 17-27 см.). Евро, 0,5</t>
  </si>
  <si>
    <t>лук Багровый Мяч (репч.) (ран.спел., окр.,т.фиолет./бел.с фиол.прож.,полуостр.,80-90 г.). Евро, 0,5</t>
  </si>
  <si>
    <t>I0000001094</t>
  </si>
  <si>
    <t>лук Байрам1 (репч.) (ср.поздн., окр.,зол.коричн./бел.,остр.,180-200 г.). Евро, 0,5</t>
  </si>
  <si>
    <t>лук Баночный консервный (репч.) (скоро.спел., окр./плоск,бел../бел.,сл.остр.,40-60 г.). Евро, 0,5</t>
  </si>
  <si>
    <t>лук Барлетта (репч.) (ран.спел., окр.,бел../белосн.,полуостр.,40-60 г.). Евро, 1</t>
  </si>
  <si>
    <t>I0000001099</t>
  </si>
  <si>
    <t>лук Башар (репч.) (ср.спел., окр.,желт.-коричн./бел.,остр.,150-180 г.). Евро, 0,5</t>
  </si>
  <si>
    <t>лук Блонд (репч.)(ср.спел., окр.,бел./бел.,остр.,250-300 г.). Евро, 1</t>
  </si>
  <si>
    <t>лук Блонд (репч.)(ср.спел., окр.,бел./бел.,остр.,250-300 г.). МФ, 1</t>
  </si>
  <si>
    <t>лук Весна Севера (ШНИТТ) (ран.спел., т.зелен.,полуостр.,20-25 см.). Евро, 0,5</t>
  </si>
  <si>
    <t>I0000002215</t>
  </si>
  <si>
    <t>лук Восторг (репчатый на перо и репку)(ср.поздн., окр.,бронз../бел.,остр.,150-250 г.). Евро, 1</t>
  </si>
  <si>
    <t>I0000001095</t>
  </si>
  <si>
    <t>лук Гордион (репч.)(ср.ран., желт.коричн./бел.,полуостр.,150-170 г.). Евро, 0,5</t>
  </si>
  <si>
    <t>лук Жирнолистный (батун)(ран.спел.,ярк.-зелен.,слабоостр.,20-30 см.). Евро, 1</t>
  </si>
  <si>
    <t>лук Ишикура Лонг Уайт (БАТ)(поздн.спел.,т.зелен.,полуостр.,55 см.,200-240 г.). Евро, 1</t>
  </si>
  <si>
    <t>лук Карантанский (ПОР)(поздн.спел.,полуостр.,70-80 см.). Евро, 1</t>
  </si>
  <si>
    <t>лук Карантанский (ПОР)(поздн.спел.,полуостр.,70-80 см.). МФ, 1</t>
  </si>
  <si>
    <t>лук Кармен МС (репч.)(ср.поздн.,плоск.-окр., фиолет./бел.с фиол.прож.,полуостр.,90-120 г.). Евро, 0,5</t>
  </si>
  <si>
    <t>лук Кармен МС (репч.)(ср.поздн.,плоск.-окр., фиолет./бел.с фиол.прож.,полуостр.,90-120 г.). МФ, 0,5</t>
  </si>
  <si>
    <t>I0000002216</t>
  </si>
  <si>
    <t>лук Кентавр (репчатый на перо и репку)(ср.поздн.,окр.,ярк.-желт/бел.,полуостр.,150-250 г.). Евро, 1</t>
  </si>
  <si>
    <t>лук Килима (ПОР)(ср.ран.,полуостр., до100 см.). Евро, 1</t>
  </si>
  <si>
    <t>лук Княжич (ШАЛОТ) (ср.спел.,элипт., темн.-коричн./св.фиол.,полуостр.,25 г.). Евро, 0,3</t>
  </si>
  <si>
    <t>лук Красный Барон (репч.)(ср.спел.,плоск.-окр., т.-красн./бел.-розов.полуостр.,60-80 г.). Евро, 1</t>
  </si>
  <si>
    <t>лук Красный Барон (репч.)(ср.спел.,плоск.-окр., т.-красн./бел.-розов.полуостр.,60-80 г.). МФ, 1</t>
  </si>
  <si>
    <t>лук Красный Брауншвейгский (репч.)(ср.спел.,плоск.-окр., т.-красн./бел.-розов.,полуостр./сладк.,80-120 г.). Евро, 1</t>
  </si>
  <si>
    <t>I0000002217</t>
  </si>
  <si>
    <t>лук Кристина (репч.)®(ср.поздн.,окр., т.золот./бел.,остр.,100-130 г.). Евро, 1</t>
  </si>
  <si>
    <t>лук Кристина (репч.)®(ср.поздн.,окр., т.золот./бел.,остр.,100-130 г.). МФ, 1</t>
  </si>
  <si>
    <t>лук Майский (батун)(ср.спел.,остр.,25-40 см.). Евро, 1</t>
  </si>
  <si>
    <t>лук Майский (батун)(ср.спел.,остр.,25-40 см.). МФ, 1</t>
  </si>
  <si>
    <t>лук Медонос (ШНИТТ)(скороспел., зелен.,полуостр.,20-25 см.). Евро, 0,5</t>
  </si>
  <si>
    <t>лук Молодец (БАТ) (ран.спел.,ср.остр.,25-45 см.). Евро, 1</t>
  </si>
  <si>
    <t>I0000001703</t>
  </si>
  <si>
    <t>лук Мячковский 300 (репч.)(ран.спел.,окр.-плоск., золот.-коричн./бел.,полуостр.,80-100 г.). Евро, 2</t>
  </si>
  <si>
    <t>I0000002209</t>
  </si>
  <si>
    <t>лук На перо и репку (репч.)(ран.спел.,окр., коричн./бел.,слабоостр.,150-200 г.). Евро, 1</t>
  </si>
  <si>
    <t>лук Нежность (БАТ)(ран.спел.,полуостр.,20-30 см.). Евро, 1</t>
  </si>
  <si>
    <t>лук Нежность (БАТ)(ран.спел.,полуостр.,20-30 см.). МФ, 1</t>
  </si>
  <si>
    <t>лук Овал (репч.)(ср.поздн.,удл.-овал., зол.-желт./бел.,полуостр.,150-250 г.). Евро, 0,5</t>
  </si>
  <si>
    <t>лук Опорто (репч.)(ср.спел.,окр.,желт.- коричн./бел.,остр.,250-300 г.). Евро, 1</t>
  </si>
  <si>
    <t>лук Опорто (репч.)(ср.спел.,окр.,желт.- коричн./бел.,остр.,250-300 г.). МФ, 1</t>
  </si>
  <si>
    <t>лук Осенний Гигант (ПОР)(поздн.спел.,полуостр., до 80 см.). Евро, 1</t>
  </si>
  <si>
    <t>лук Осенний Гигант (ПОР)(поздн.спел.,полуостр., до 80 см.). МФ, 1</t>
  </si>
  <si>
    <t>I0000013888</t>
  </si>
  <si>
    <t>лук Осенний Красавец (ПОР)(поздн.спел.,пикантн., до 20 см.). Евро, 1</t>
  </si>
  <si>
    <t>лук Пикантный (душистый)(ср.спел.,полуостр.лук.-чесночн., 30-35 см.). Евро, 0,5</t>
  </si>
  <si>
    <t>лук Ранний (БАТ)(ран.спел.,полуостр.,55-60 см.). Евро, 1</t>
  </si>
  <si>
    <t>I0000013121</t>
  </si>
  <si>
    <t>лук Ранняя Трапеза (БАТ)(поздн.спел.,слабоостр.,40-45 см.). Евро, 1</t>
  </si>
  <si>
    <t>I0000001097</t>
  </si>
  <si>
    <t>лук Ред Якут (репч.)(поздн.спел.,удл.-окр.,фиол.-бард../бел.с роз.оттенк,полуостр.,140-180 г.). Евро, 0,5</t>
  </si>
  <si>
    <t>лук Рыночный (на перо)(ран.спел.,окр.,бел./бел.,полуостр.,40-50 г.). Евро, 1</t>
  </si>
  <si>
    <t>лук Салатный (на перо)(ран.спел.,овал.,бел./бел.,полуостр.,50-60 г.). Евро, 1</t>
  </si>
  <si>
    <t>I0000002218</t>
  </si>
  <si>
    <t>лук Сенатор (репч.)®(ср.поздн.,окр., коричн./бел.,полуостр.,150-200 г.). Евро, 1</t>
  </si>
  <si>
    <t>лук Сережа F1 (БАТ, на крупное перо)(ран.спел.,полуостр.,54 см.). Евро, 0,3</t>
  </si>
  <si>
    <t>I0000001096</t>
  </si>
  <si>
    <t>лук Сима (репч.)(ср.спел.,овал.-кругл.,св.- коричн./бел.,сладк.,130-160 г.). Евро, 0,5</t>
  </si>
  <si>
    <t>лук Скороспелка (репч.)(скороспел.,окр.,желт.-золот./бел.,полуостр.,50-250 г.). Евро, 0,3</t>
  </si>
  <si>
    <t>лук Сонет (ШНИТТ)(скороспел., зелен.,полуостр.,50-60 см.). Евро, 0,5</t>
  </si>
  <si>
    <t>лук Сонет (ШНИТТ)(скороспел., зелен.,полуостр.,50-60 см.). МФ, 0,5</t>
  </si>
  <si>
    <t>лук Супра (репч.)(ср.поздн.,окр.,т.-желт./бел.,полуостр.,100-190 г.). Евро, 0,5</t>
  </si>
  <si>
    <t>I0000002219</t>
  </si>
  <si>
    <t>лук Фермер (репч.)®(ХИТ! ср.спел.,шаровидн.,золот.- коричн./бел.,остр.,150-250 г.). Евро, 1</t>
  </si>
  <si>
    <t>лук Фермер Поздний (репч.)(поздн.спел.,шаровидн.,зол.- коричн./бел.,остр.,150-250 г.). Евро, 0,5</t>
  </si>
  <si>
    <t>лук Фермер Ранний (репч.)(оч.ран.,шаровидн.,желт./бел.,остр.,150-200 г.). Евро, 0,5</t>
  </si>
  <si>
    <t>лук Халцедон (репч.)(ср.поздн.,окр./овал.-круг.,коричн.-бронз./бел.,остр.,100-150 г.). Евро, 0,5</t>
  </si>
  <si>
    <t>лук Черемша Медвежий деликатес 0,2 г (оч.скороспел.,вкус и аром. чесночный). Евро, 0,2</t>
  </si>
  <si>
    <t>лук Шаман (репч.)(скороспел.,вытянутые до 10-12 см..,коричн.-красн./розов.-красн.,остр.,50-65 г.). Евро, 1</t>
  </si>
  <si>
    <t>лук Штуттгартер Ризен (репч.)(ран.спел.,окр.-плоск.,зол.- коричн./бел.,остр.,120-150 г.). Евро, 1</t>
  </si>
  <si>
    <t>лук Штуттгартер Ризен (репч.)(ран.спел.,окр.-плоск.,зол.- коричн./бел.,остр.,120-150 г.). МФ, 1</t>
  </si>
  <si>
    <t>лук Элефант МС (ПОР)(ср.ран.,слабоостр.,65-85 см.). Евро, 1</t>
  </si>
  <si>
    <t>лук Элефант МС (ПОР)(ср.ран.,слабоостр.,65-85 см.). МФ, 1</t>
  </si>
  <si>
    <t>лук Эффект (репч.)(поздн.спел.,окр.,т.-золот./бел.-крем.,остр.,250-300 г.). Евро, 0,5</t>
  </si>
  <si>
    <t>лук Эффект (репч.)(поздн.спел.,окр.,т.-золот./бел.-крем.,остр.,250-300 г.). МФ, 0,5</t>
  </si>
  <si>
    <t>ЛЮФФА</t>
  </si>
  <si>
    <t>I0000013250</t>
  </si>
  <si>
    <t>люффа Мойдодыр F19( ран.спел.,цилиндр.,35-40 см.). Евро, 0,3</t>
  </si>
  <si>
    <t>МАНГОЛЬД</t>
  </si>
  <si>
    <t>мангольд Алый (ср.спел.,удл.-овал.,фиол.-зелен./малин.-красн.,23-25/25-27 см.). Евро, 2</t>
  </si>
  <si>
    <t>мангольд Алый (ср.спел.,удл.-овал.,фиол.-зелен./малин.-красн.,23-25/25-27 см.). МФ, 2</t>
  </si>
  <si>
    <t>I0000012646</t>
  </si>
  <si>
    <t>мангольд Доктор(смесь ср.спел.,удл.-овал.,зелен./зелен.,бел.,ярк.-желт.,малин.-красн.,50-60/до 25 см.). Евро, 2</t>
  </si>
  <si>
    <t>мангольд Зеленый (ср.спел.,удл.-овал.,нас-зелен./св.зелен.,до 35/ до 25 см.). Евро, 2</t>
  </si>
  <si>
    <t>мангольд Мираж(ср.спел.,удл.-овал.,зелен./св.зелен.,25-35/до 25 см.). Евро, 2</t>
  </si>
  <si>
    <t>мангольд Мираж(ср.спел.,удл.-овал.,зелен./св.зелен.,25-35/до 25 см.). МФ, 2</t>
  </si>
  <si>
    <t>МАХОРКА</t>
  </si>
  <si>
    <t>У0000031170</t>
  </si>
  <si>
    <t>махорка Деревенская ( подвид табака, крепк., никот.2-7%, до 1 м.). Евро, 0,01</t>
  </si>
  <si>
    <t>МОМОРДИКА</t>
  </si>
  <si>
    <t>I0000013246</t>
  </si>
  <si>
    <t>момордика Ажур F1 (однолетн., ран.спел., веретеновидн., св.зелен.,20-30 см.). Евро, 3</t>
  </si>
  <si>
    <t>I0000000974</t>
  </si>
  <si>
    <t>момордика Нефрит F1(однолетн., ср.спел., веретеновидн., св.зелен.,20-30 см.). Евро, 3</t>
  </si>
  <si>
    <t>МОРКОВЬ</t>
  </si>
  <si>
    <t>I0000002424</t>
  </si>
  <si>
    <t>морковь Ажур (ср.спел., конич.,оранж.,16-20 см.,150-200 г.). Евро, 2</t>
  </si>
  <si>
    <t>морковь Амстердамска(ран.спел.,цилиндр.-тупокон.,ярк.-оранж.,11-17 см.,55-150 г.). Евро, 2</t>
  </si>
  <si>
    <t>I0000015155</t>
  </si>
  <si>
    <t>морковь Берликум 5(ср.спел.,цилиндр.заостр.,оранж.,20-25 см.,200-250 г.). Евро, 2</t>
  </si>
  <si>
    <t>морковь Берликум 5(ср.спел.,цилиндр.заостр.,оранж.,20-25 см.,200-250 г.). МФ, 1</t>
  </si>
  <si>
    <t>морковь Берликум Роял(поздн.спел., конич.с туп.конч.,ярк.-оранж.,20-25 см.,200-300 г.). Евро, 2</t>
  </si>
  <si>
    <t>морковь Варвара®(ср.спел., удл.-цилиндр.с остр.конч.,оранж.,20-25 см.,85-130 г.). Евро, 2</t>
  </si>
  <si>
    <t>морковь Варвара®(ср.спел., удл.-цилиндр.с остр.конч.,оранж.,20-25 см.,85-130 г.). МФ, 2</t>
  </si>
  <si>
    <t>I0000002125</t>
  </si>
  <si>
    <t>морковь Вита Лонга(ср.ран., конич.с заостр.конч.,оранж.,25-28 см.,140-300 г.). Евро, 2, г</t>
  </si>
  <si>
    <t>морковь Вита Лонга(ср.ран., конич.с заостр.конч.,оранж.,25-28 см.,140-300 г.). Евро, 1</t>
  </si>
  <si>
    <t>морковь Витаминная 6(ср.спел., цилиндр.тупоконечн.,оранж.,до15 см.,60-160 г.). МФ, 2</t>
  </si>
  <si>
    <t>морковь Внучка(ран.спел., окр.,оранж.,3-5 см.,40-50 г.). Евро, 2</t>
  </si>
  <si>
    <t>морковь Детский вкус (ран.спел., конич.,яр.-оранж.,13-15 см.,60-100 г.). Евро, 2</t>
  </si>
  <si>
    <t>морковь Долянка(ср.ран. конич.,ярк.-оранж.,25-28 см.,95-145 г.). Евро, 2</t>
  </si>
  <si>
    <t>морковь Долянка(ср.ран. конич.,ярк.-оранж.,25-28 см.,95-145 г.). МФ, 2</t>
  </si>
  <si>
    <t>морковь Дуняша® (ран.спел.,конич.,ярк.-оранж.,14-16 см.,60-100 г.). Евро, 2</t>
  </si>
  <si>
    <t>морковь Дуняша® (ран.спел.,конич.,ярк.-оранж.,14-16 см.,60-100 г.). МФ, 2</t>
  </si>
  <si>
    <t>морковь Калина F1(ран.спел.,цилиндр.,интенс.-оранж.,до 20 см.,65-140 г.). Евро, 2</t>
  </si>
  <si>
    <t>морковь Канада F1(ср.поздн.,полуконич.,оранж.,20-24 см.,60-150 г.). Евро, 0,2</t>
  </si>
  <si>
    <t>морковь Кардинал ® (ХИТ! поздн.спел.,конич.-тупокон.,т.-оранж.,18-20 см.,95-145 г.). Евро, 2</t>
  </si>
  <si>
    <t>морковь Каролина(поздн.спел.,цилиндр.с заостр.конч.,оранж.,17-18 см.,65-75 г.). Евро, 2</t>
  </si>
  <si>
    <t>морковь Китайская Красавица®(ср.спел.,конич.,оранж.-красн.,18-20 см.,120-150 г.). Евро, 2</t>
  </si>
  <si>
    <t>морковь Королева Осени(поздн.спел.,конич.с заостр.конч.,оранж.-красн., 20-25см.,60-180 г.). Евро, 2</t>
  </si>
  <si>
    <t>морковь Королева Осени(поздн.спел.,конич.с заостр.конч.,оранж.-красн., 20-25см.,60-180 г.). МФ, 2</t>
  </si>
  <si>
    <t>морковь Крестьянка® (ср.спел.,цилиндрич.,остроконечн.,оранж.-красн.,20-24 см.,130-200 г.). Евро, 2</t>
  </si>
  <si>
    <t>морковь Крестьянка® (ср.спел.,цилиндрич.,остроконечн.,оранж.-красн.,20-24 см.,130-200 г.). МФ, 2</t>
  </si>
  <si>
    <t>I0000002123</t>
  </si>
  <si>
    <t>морковь Курода Шантанэ (ран.спел.,конич.,оранж.,16-20 см.,120-180 г.). Евро, 2</t>
  </si>
  <si>
    <t>морковь Леандр(ср.спел.,цилиндрич.,с туп.конч.,оранж., до 20 см.,75-120 г.). Евро, 2</t>
  </si>
  <si>
    <t>морковь Леандр(ср.спел.,цилиндрич.,с туп.конч.,оранж., до 20 см.,75-120 г.). МФ, 2</t>
  </si>
  <si>
    <t>морковь Лосиноостровская 13(ср.спел.,конич.с заостр.кончик.,оранж.,до 15 см.,65-155 г.). Евро, 2</t>
  </si>
  <si>
    <t>I0000014548</t>
  </si>
  <si>
    <t>морковь Майами Шоколадная F1 (ран.спел.,удл.-конус.,т.-фиолет.,18-20 см.,130-190 г.). Евро, 0,1</t>
  </si>
  <si>
    <t>морковь Малика 1г (ср.поздн.,цилиндрич.,тупоконечн.,оранж.-красн.18-20 см.,90-180 г.). Евро, 2</t>
  </si>
  <si>
    <t>морковь Малика 1г (ср.поздн.,цилиндрич.,тупоконечн.,оранж.-красн.18-20 см.,90-180 г.). МФ, 2</t>
  </si>
  <si>
    <t>морковь Малика (гранул.) (ср.поздн.,цилиндрич.,тупоконечн.,оранж.-красн.18-20 см.,90-180 г.). Евро, 200</t>
  </si>
  <si>
    <t>морковь Московская Зимняя А 515(ср.спел.,конич.,тупоконечн.,ярк.-оранж., до 16 см.,100-170 г.). Евро, 2</t>
  </si>
  <si>
    <t>морковь Мускат(ран.спел., цилиндрич.,тупоконечн.,ярк.-оранж.,16-18 см.,90-120 г.). Евро, 2</t>
  </si>
  <si>
    <t>морковь Нандрин F1(ср.спел.,цилиндрич.,ярк.-оранж.,12-20 см.,100-120 г.). Евро, 100</t>
  </si>
  <si>
    <t>I0000002774</t>
  </si>
  <si>
    <t>морковь Нанка F1 (ср.спел.,цилиндрич.,ярк.-оранж.,15-20 см.,150-250 г.). Евро, 200</t>
  </si>
  <si>
    <t>морковь Нантезе(ср.ран.,цилиндрич.,тупоконечн.,оранж.-красн.16-18 см.,90-120 г.). Евро, 2</t>
  </si>
  <si>
    <t>морковь Нантезе(ср.ран.,цилиндрич.,тупоконечн.,оранж.-красн.16-18 см.,90-120 г.). МФ, 2</t>
  </si>
  <si>
    <t>I0000014117</t>
  </si>
  <si>
    <t>морковь Нантина F1 (ср.спел.,цилиндрич.,тупоконечн.,ярк.-оранж.,15-20 см.,180-250 г.). Евро, 200</t>
  </si>
  <si>
    <t>морковь Нантская 4(ср.спел.,цилиндрич.,тупоконечн.,оранж.,14-16 см.,95-160 г.). Евро, 2</t>
  </si>
  <si>
    <t>морковь Нантская 4(ср.спел.,цилиндрич.,тупоконечн.,оранж.,14-16 см.,95-160 г.). МФ, 2</t>
  </si>
  <si>
    <t>морковь Нантская улучшенная (ср.спел.,цилиндрич.,тупоконечн.,ярк.-оранж.,15-17см.,90-160 г.). Евро, 2</t>
  </si>
  <si>
    <t>I0000001118</t>
  </si>
  <si>
    <t>морковь Натургор(ср.спел.,цилиндрич.,с заостр.конч..,оранж.-красн.,20-22 см.,120-160 г.). Евро, 0,3</t>
  </si>
  <si>
    <t>морковь Нэля F1 (ср.поздн.,цилиндрич.,ярк.-оранж.,14-20 см.,230-250 г.). Евро, 2</t>
  </si>
  <si>
    <t>морковь Осенний Король(ср.поздн.,цилиндрич.,оранж.,до 25 см.,до 200 г.). Евро, 2</t>
  </si>
  <si>
    <t>морковь Осенний Король(ср.поздн.,цилиндрич.,оранж.,до 25 см.,до 200 г.). МФ, 2</t>
  </si>
  <si>
    <t>морковь Первый сбор(ран.спел.,конич.,ярк.-оранж.,12-13 см.,55-80 г.). МФ, 2</t>
  </si>
  <si>
    <t>морковь Перфекция(поздн.спел.,конич.,тупоконечн.,оранж.,25-30 см.,145-170 г.). Евро, 2</t>
  </si>
  <si>
    <t>морковь Подруга® (ср.спел.,конич.,оранж.,23-25 см.,130-160 г.). Евро, 1</t>
  </si>
  <si>
    <t>морковь Продуко(ср.поздн.,конич.,тупоконечн.,ярк.-оранж.,18-20 см.,150-170 г.). Евро, 2</t>
  </si>
  <si>
    <t>морковь Продуко(ср.поздн.,конич.,тупоконечн.,ярк.-оранж.,18-20 см.,150-170 г.). МФ, 2</t>
  </si>
  <si>
    <t>морковь Пучковая(ран.спел..,цилиндрич.,тупоконечн.,ярк.-оранж.,11-17см.,55-150 г.). Евро, 2</t>
  </si>
  <si>
    <t>I0000012608</t>
  </si>
  <si>
    <t>морковь Ред Кор(ср.спел.,конич.с заостр.конч..,ярк.-оранж.-красн.,16-20 см.,100-180 г.). Евро, 2</t>
  </si>
  <si>
    <t>морковь Ройал Форто(ср.поздн.,цилиндрич.,с туп.конч.,оранж.,18-21 см.,70-120 г.). Евро, 0,5</t>
  </si>
  <si>
    <t>I0000002124</t>
  </si>
  <si>
    <t>морковь Роте Ризен(поздн.спел.,конич.,с туп.конч.,оранж.,20-25 см.,150-200 г.). Евро, 2</t>
  </si>
  <si>
    <t>морковь Самсон F1(ср.спел.,цилиндрич.,нас.-оранж.,20-22 см.,125-150 г.). Евро, 0,5</t>
  </si>
  <si>
    <t>морковь Свекровь F1 (ран.спел.,цилиндрич.,тупоконечн.,оранж., до 21 см.,180-210 г.). Евро, 2</t>
  </si>
  <si>
    <t>морковь Семь Красавиц (смесь лучших сортов)(ран./ср.спел.,цилиндрич./коническ.,оранж.). Евро, 2</t>
  </si>
  <si>
    <t>морковь Семь Красавиц (смесь лучших сортов)(ран./ср.спел.,цилиндрич./коническ.,оранж.). МФ, 2</t>
  </si>
  <si>
    <t>морковь Сестра F1(ран.спел.,цилиндрич.тупоконечн.,ярк.-оранж., до 25 см.,120-150 г.). Евро, 1</t>
  </si>
  <si>
    <t>морковь Сладкая Девочка(ср.спел.,удл.-цилиндр.,оранж., 20-25 см.,75-125 г.). Евро, 2</t>
  </si>
  <si>
    <t>морковь Тёща F1(ср.спел.,конич.,тупоконечн.,ярк.-оранж., до 20 см.,150-200 г.). Евро, 1</t>
  </si>
  <si>
    <t>морковь Тёща F1(ср.спел.,конич.,тупоконечн.,ярк.-оранж., до 20 см.,150-200 г.). Евро, 2</t>
  </si>
  <si>
    <t>морковь Тёща F1 (гранул.)(ср.спел.,конич.,тупоконечн.,ярк.-оранж., до 20 см.,150-200 г.). Евро, 100</t>
  </si>
  <si>
    <t>морковь Флакоро(поздн.спел.,конич.,ярк.-оранж., до 30 см.,135-200 г.). Евро, 2</t>
  </si>
  <si>
    <t>морковь Флакоро(поздн.спел.,конич.,ярк.-оранж., до 30 см.,135-200 г.). МФ, 2</t>
  </si>
  <si>
    <t>морковь Форто(ср.поздн.,цилиндр.,ярк.-оранж., 18-20 см., 90-110 г.). Евро, 2</t>
  </si>
  <si>
    <t>морковь Холидей F1(ср.ран.,конич.,оранж.-красн., 18- 20 см.,120-180 г.). Евро, 2</t>
  </si>
  <si>
    <t>морковь Хруста ®(ран.спел.,удл.-конич.,оранж., до 30 см.,120-150 г.). Евро, 2</t>
  </si>
  <si>
    <t>морковь Хрустяшка (ср.спел.,конич.,ярк.-оранж., до 20 см., 120-170 г.). Евро, 2</t>
  </si>
  <si>
    <t>морковь Чаровница (ср.спел.,цилиндр.,оранж., 18-22 см.,100-120 г.). Евро, 2</t>
  </si>
  <si>
    <t>I0000014545</t>
  </si>
  <si>
    <t>морковь Чаровница Золотая (ран.спел.,конич.,желт., 15-20 см.,100-120 г.). Евро, 0,1</t>
  </si>
  <si>
    <t>I0000014547</t>
  </si>
  <si>
    <t>морковь Чаровница Радужная (смесь ран.спел.сортов,конич.,оранж./фиолет./желт., 10-22 см.,100-200 г.). Евро, 0,1</t>
  </si>
  <si>
    <t>I0000014546</t>
  </si>
  <si>
    <t>морковь Чаровница Сахарная (ран.спел.,конич.,крем.-бел., 20-25 см.,100-200 г.). Евро, 0,1</t>
  </si>
  <si>
    <t>I0000014544</t>
  </si>
  <si>
    <t>морковь Чаровница Шоколадная (ран.спел.,цилиндр.,т.фиолет., 15-20 см.,100-120 г.). Евро, 0,1</t>
  </si>
  <si>
    <t>морковь Шантанэ  №5(ср.спел.,конич.с туп.конч.,оранж., 15-18 см.,150-200 г.). Евро, 2</t>
  </si>
  <si>
    <t>морковь Шантенэ  2461(ср.спел.,усеч.-конич.,оранж., 18-20 см.,110-200 г.). Евро, 2</t>
  </si>
  <si>
    <t>морковь Шантенэ  2461(ср.спел.,усеч.-конич.,оранж., 18-20 см.,110-200 г.). МФ, 2</t>
  </si>
  <si>
    <t>морковь Шантенэ Роял(ср.спел.,конич.,ярк.-оранж., 16-20 см.,110-200 г.). Евро, 2</t>
  </si>
  <si>
    <t>морковь Шантенэ Роял(ср.спел.,конич.,ярк.-оранж., 16-20 см.,110-200 г.). МФ, 2</t>
  </si>
  <si>
    <t>I0000001119</t>
  </si>
  <si>
    <t>морковь Шантино(ср.спел.,конич.,ярк.-оранж., 12-15 см.,110-165 г.). Евро, 0,3</t>
  </si>
  <si>
    <t>I0000014549</t>
  </si>
  <si>
    <t>морковь Янтарный Плов (ран.спел.,конич.,лимон.-желт., 15-30 см.,100-200 г.). Евро, 0,1</t>
  </si>
  <si>
    <t>ОГУРЕЦ</t>
  </si>
  <si>
    <t>Огурец Агат F1 (ПК, ЗГ, 40-46см, без горечи, гладк, салатный). Евро, 0,15</t>
  </si>
  <si>
    <t>Огурец Ажур F1 (ХИТ! ранний, ПК, ОГ, ЗГ, 8-11см, 14-16кг/м², ароматн, стандарт качества, стрессоуст.). Евро, 0,2</t>
  </si>
  <si>
    <t>Огурец Алексеич F1 (ранний, ПК, ОГ, ПУ, 7-8см, 13-14кг/м², без горечи). Евро, 0,2</t>
  </si>
  <si>
    <t>Огурец Алёнушка F1 з/г  (ПО, ОГ, ПУ, 8-10см, тонкокож, плодон. всё лето). Евро, 0,3</t>
  </si>
  <si>
    <t>Огурец Алёнушка F1 з/г  (ПО, ОГ, ПУ, 8-10см, тонкокож, плодон. всё лето). МФ, 0,3</t>
  </si>
  <si>
    <t>I0000002114</t>
  </si>
  <si>
    <t>Огурцы Аллигаторы</t>
  </si>
  <si>
    <t>огурец Аллигатор 2 F1(Китайский болезнеустойчивый, ПО, ОГ, тепл, 35-40см, до 300г, плодонос. до замороз.). . Евро, 0,2</t>
  </si>
  <si>
    <t>I0000015162</t>
  </si>
  <si>
    <t>огурец Аллигатор 4 F1(Китайский жароустойчивый , ПО, ОГ, тепл, 25-35см, плодонос. до замороз., жаростойк) . Евро, 0,2</t>
  </si>
  <si>
    <t>Огурец Аллигатор F1 (ХИТ! ранний, ПО, ОГ, тепл, 35-40см, сладкий, супер-урожайный). Евро, 0,2</t>
  </si>
  <si>
    <t>Огурец Ангел F1 (ПО, ОГ, ПУ, 8-10см, без горечи, консервн. и засолочн.). Евро, 0,3</t>
  </si>
  <si>
    <t>Огурец Ангел F1 (ПО, ОГ, ПУ, 8-10см, без горечи, консервн. и засолочн.). МФ, 0,3</t>
  </si>
  <si>
    <t>Огурец Анника F1 (ПК, ОГ, ПУ, 8-10см, 70-75г, 4,6-5кг/м², хрустящ, универсал.). Евро, 0,2</t>
  </si>
  <si>
    <t>Огурец Апрельский F1 з/г (скороспел, ПК, 15-20см, 200-300г, для урожая на окне, салатн.). Евро, 0,2</t>
  </si>
  <si>
    <t>Огурец Бабушкин Гостинец F1 (ПК, ОГ, 10-12см, 50-65г, 2,5-4,5кг/м², мелкобугорч, хруст. и очень крепкий). Евро, 0,3</t>
  </si>
  <si>
    <t>У0000031290</t>
  </si>
  <si>
    <t>серия Балконное чудо</t>
  </si>
  <si>
    <t>Огурец Балконное чудо F1 (ХИТ! ПК, тепл, ПУ, пучковый, 8-10см, до 80г, 8-9кг/м², гладк, завяз.плоды в стресс.усл, салатн.). Евро, 0,2</t>
  </si>
  <si>
    <t>I0000016209</t>
  </si>
  <si>
    <t>огурец Балконное Чудо 2  F1. Евро, 0,2</t>
  </si>
  <si>
    <t>I0000016210</t>
  </si>
  <si>
    <t>огурец Балконное Чудо 3  F1. Евро, 0,2</t>
  </si>
  <si>
    <t>I0000016211</t>
  </si>
  <si>
    <t>огурец Балконное Чудо 4  F1. Евро, 0,2</t>
  </si>
  <si>
    <t>Огурец Баночный F1® (ХИТ! ранний, ПО, ОГ, ПУ, 8-10см, для малосольн. квашен. и засола). Евро, 0,3</t>
  </si>
  <si>
    <t>Огурец Баночный F1® (ХИТ! ранний, ПО, ОГ, ПУ, 8-10см, для малосольн. квашен. и засола). МФ, 0,3</t>
  </si>
  <si>
    <t>Огурец Батюшка F1 (ранний, ПК, ЗГ, 14-16см, 90-100г, гладк, 24,5-25,6кг/кв.м, без горечи, салатн.). Евро, 0,2</t>
  </si>
  <si>
    <t>I0000002864</t>
  </si>
  <si>
    <t>Огурец Белая гвардия F1 (ХИТ! ПК, тепл, ПУ; плоды белые! 18-22см, 140-170г, 11,0-12,5кг/м², без горечи, холодоуст.). Евро, 0,2</t>
  </si>
  <si>
    <t>Огурцы Музыкальные</t>
  </si>
  <si>
    <t>Огурец Бетховен F1 (ХИТ! ПК, тепл, ПУ, 11-13см, 90-120г, до 17,5кг/кв.м, без пустот и гореч, стандарт качества!). Евро, 8</t>
  </si>
  <si>
    <t>Огурец Бидретта F1 (ранний, ПО, ОГ, ПУ, 10-12см, плотн, без горечи, урожайн. в холодн. лето). Евро, 0,3</t>
  </si>
  <si>
    <t>Огурец Бизнес F1  (ПО, ОГ, 8-10см, 70-100г, без горечи, товарный и технологичн.). Евро, 0,3</t>
  </si>
  <si>
    <t>Огурец Блондин F1 (ХИТ! ранний, ПО, ЗГ; плоды бело-салатовые! до 20см, хрустящ, вкусный, салатн.). Евро, 0,2</t>
  </si>
  <si>
    <t>Огурцы Мини-корнишоны</t>
  </si>
  <si>
    <t>Огурец Бойскаут F1 (ПО, ОГ, 6-8см, не перераст, не желтеют, для сбора пикулей). Евро, 0,3</t>
  </si>
  <si>
    <t>Огурец Бойскаут F1 (ПО, ОГ, 6-8см, не перераст, не желтеют, для сбора пикулей). МФ, 0,3</t>
  </si>
  <si>
    <t>Огурец Борис F1з/г  (ПО, ОГ, 8-10см, 6,5-7,3кг/кв.м, не перераст, не желтеют, плодонос.до осени). Евро, 0,3</t>
  </si>
  <si>
    <t>Огурец Борис F1з/г  (ПО, ОГ, 8-10см, 6,5-7,3кг/кв.м, не перераст, не желтеют, плодонос.до осени). МФ, 0,3</t>
  </si>
  <si>
    <t>Огурец Бочковой Засол (0,5 г)  (ПО, ОГ, 11-13см, не желтеют, без пустот, лёжкий). Евро, 0,5</t>
  </si>
  <si>
    <t>I0000001720</t>
  </si>
  <si>
    <t>Огурец Верный дружок F1 (ранний, ПК, ОГ, ПУ, тепл, 10-12см, 100-120г, 14,8кг/кв.м, продолж. отдача урож.). Евро, 0,2</t>
  </si>
  <si>
    <t>Огурцы Родом Из СССР</t>
  </si>
  <si>
    <t>Огурец Веселая Компания F1® з/г (ХИТ! ранний, ПК, ОГ,ЗГ, пучковый! 7-9см, 9,4кг/кв.м, без горечи, интенс.отдача урож.). Евро, 0,2</t>
  </si>
  <si>
    <t>Огурец Весенний Каприз F1 з/г (ранний, ПК, балкон/лоджия, до 20см, 100-150г, 12-13кг/кв.м, ароматн, салатн, холодоуст.). Евро, 0,2</t>
  </si>
  <si>
    <t>Огурец Весна F1® з/г (ранний, ПК, ОГ, тепл, пучковый, 7-8см, 65-80г, 11-17кг/кв.м, без горечи, высокотов., для сбора пикулей). Евро, 0,2</t>
  </si>
  <si>
    <t>I0000001045</t>
  </si>
  <si>
    <t>Огурец Вивальди  F1 (ПК, ПУ, тепл, 23-25см, 170-200г, 18-20кг/м², салатн, гладк, хол/уст, теневын.). Евро, 3</t>
  </si>
  <si>
    <t>Огурец Виват F1 з/г  (ранний, ПК, ОГ, ПУ, 9-10см, 11,3кг/кв.м, сладк, не перераст, товарн.). Евро, 0,3</t>
  </si>
  <si>
    <t>Огурец Водолей  (ранний, ПО, ОГ, 9-12см, 110-120г, хрустящ, ароматн, универсал.). Евро, 0,5</t>
  </si>
  <si>
    <t>Огурец Герда F1 (ХИТ! ПО с частич. партенокарпией, ОГ, пучковый! 8-10см, 70-75г, интенс. плодообразов.). Евро, 0,3</t>
  </si>
  <si>
    <t>Огурец Гинга F1 (ПК, ОГ, ПУ, 9-15см, 80-90г, до 6 кг/м², товарн, для засола и консер.). Евро, 0,2</t>
  </si>
  <si>
    <t>Огурец Голубчик F1 (ПО, 10-12см, 80-95г, стаб.урож, товарн.). Евро, 0,3</t>
  </si>
  <si>
    <t>Огурец Голубчик F1 (ПО, 10-12см, 80-95г, стаб.урож, товарн.). МФ, 0,3</t>
  </si>
  <si>
    <t>Огурец Гурман F1 (ПО, ЗГ, 13-16см, гладк, сладк, ароматн, тонкокож, салатн.). Евро, 0,5</t>
  </si>
  <si>
    <t>Огурец Дамский каприз F1 (ПК, ОГ, ПУ, 7-9см, 60-70г, 7-9кг/кв.м, плотн, хруст, уст.к переп.темп.). Евро, 0,2</t>
  </si>
  <si>
    <t>Огурец Дачник F1®  з/г (ранний, ПО, ОГ, тепл, пучковый! 9-11см, 70-90г, 10кг/кв.м, дружн. отд. урожая). Евро, 0,2</t>
  </si>
  <si>
    <t>Огурец Денёк F1 (ХИТ! ранний, ПО, ОГ, тепл, пучковый! 6-8см, слад, хруст, суперурожайн, засолочн.). Евро, 0,3</t>
  </si>
  <si>
    <t>I0000001719</t>
  </si>
  <si>
    <t>Огурец Детский каприз F1 (ранний, ПК, ОГ, тепл, 10-11см, 90-100г, 14,3кг/кв.м, сладк, хруст, салатн.). Евро, 0,2</t>
  </si>
  <si>
    <t>Огурец Джин F1 (ПО, ОГ, ПУ, 8-10см, плотн, хруст, для малосола). Евро, 0,3</t>
  </si>
  <si>
    <t>Огурец Диво дивное F1®   (ранний, ПК, ОГ, тепл, 11см, 125-135г, 10кг/кв.м, плотн, хруст, ароматн.). Евро, 0,2</t>
  </si>
  <si>
    <t>Огурец Добрый молодец F1 (ранний, ПК, тепл, 120-130г, плод короткий, сочн, консервн, продожит.урож.). Евро, 0,2</t>
  </si>
  <si>
    <t>Огурец Донской Пассаж F1 (ранний, ПК, ОГ, тепл, 10-12см, 110-120г, 12-15кг/кв.м, без горечи, стрессоуст.). Евро, 0,2</t>
  </si>
  <si>
    <t>Огурец Дружная семейка F1 (ХИТ! ПК, ЗГ, пучковый, 10-12см, плотн, без горечи, стаб. высокоур-й.). Евро, 0,2</t>
  </si>
  <si>
    <t>Огурец Дружок F1 (ранний, ПО, ОГ, ПУ, 8-10см, 13,2кг/кв.м, без горечи, товарн, универсал.). Евро, 0,3</t>
  </si>
  <si>
    <t>Огурец Единство (ПО, ОГ, 10-13см, 60-120г, стаб.урож, неприхотл, засолочн.). Евро, 0,5</t>
  </si>
  <si>
    <t>Огурец Екатерина F1 (ПК, ЗГ, 20-23см, 17-18кг/кв.м, сочн, салатн, холодост, теневынос.). Евро, 0,2</t>
  </si>
  <si>
    <t>Огурец Елизавета F1 (ПК, ЗГ, 20-22см, 17-18кг/кв.м, плотн, сочн, салатн, высокоурож.). Евро, 0,2</t>
  </si>
  <si>
    <t>I0000013884</t>
  </si>
  <si>
    <t>огурец Женские Пальчики F1 о/г(ран.спел, ОГ, ПУ, коротк.цилиндр.,80-90 г., для употр.в св.виде). Евро, 0,2</t>
  </si>
  <si>
    <t>Огурец Журавлёнок F1 (ранний, ПО, ОГ, 10-12см, 80-110г, 5,6-6,5кг/кв.м, плотн, хруст, холодост). Евро, 0,3</t>
  </si>
  <si>
    <t>I0000001124</t>
  </si>
  <si>
    <t>Огурец Забава F1 (ранний, ПО, ОГ, ПУ, тепл, 8-10см, 80-110г, 810-12кг/кв.м, плотн, стрессоуст.). Евро, 0,2</t>
  </si>
  <si>
    <t>огурец Задор F1 о/г(ск.спел.,ОГ, ПУ, 8-10см,цилиндр., для уп.в св.вид., малосольн. квашен. и засола). Евро, 0,2</t>
  </si>
  <si>
    <t>Огурец Закусон F1 (ранний, ПО, ОГ, ПУ, 7-9см, 8,5-9,2кг/кв.м, очень плотный, сладк, для засолки). Евро, 0,3</t>
  </si>
  <si>
    <t>Огурец Засолочный (ранний, ПО, ОГ, 10-11см, 100-120г, стабильн.урож, товарн, засолочн.). Евро, 0,3</t>
  </si>
  <si>
    <t>Огурец Зимний F1 (ранний, ПК, тепл, ПУ, 12-14см, гладк, сладк, без горечи, салатн, холодост, теневынос.). Евро, 0,2</t>
  </si>
  <si>
    <t>Огурец Зозуля F1 (скороспел, ПК, ЗГ, 18-20см, тонкокож, сладк, хруст, салатн, дружн.урожай). Евро, 0,2</t>
  </si>
  <si>
    <t>Огурец Изумрудный поток F1 (ХИТ! ранний, ПК, ОГ, ПУ, длина до50см! салатн, оч.сладк, холодостойк, теневыносл.). Евро, 0,2</t>
  </si>
  <si>
    <t>Огурец Изюминка F1 (ранний, ПО, ОГ, ПУ, 10-12см, 90-110г, 9,5-10,2кг/кв.м, не перераст, не желт, транспортаб.). Евро, 0,2</t>
  </si>
  <si>
    <t>Огурец Изящный (ранний, ПО, ОГ, 10-13см, 120-140г, плотн, ароматн, универсал.). Евро, 0,5</t>
  </si>
  <si>
    <t>Огурец Ира F1 (ранний, ПО, ОГ, тепл, 8-10см, 100-120г, плотн, без горечи, высокоурож.). Евро, 0,2</t>
  </si>
  <si>
    <t>Огурец Ирина F1 (ранний, ПО, ОГ, тепл, 8-10см, 60-80г, 11,9-12,4кг/кв.м, плотн, без горечи, стрессоуст.). Евро, 0,2</t>
  </si>
  <si>
    <t>Огурец Июньский F1 (ранний, ПК, ОГ, тепл, 16-22см, 130-150г, 10-12кг/кв.м., тонкокож, холодо/теневыносл.). Евро, 0,2</t>
  </si>
  <si>
    <t>Огурец Кай F1 (ПО, ОГ, ПУ, 6-8см, 68-75г, не перераст, холодост, друж.урожай). Евро, 0,3</t>
  </si>
  <si>
    <t>Огурец Каналья F1 (ранний, ПК, ОГ, ПУ, 8-10см, 70-90г, 16-18кг/кв.м, плотн, без гореч, теневыносл.). Евро, 0,2</t>
  </si>
  <si>
    <t>Огурец Карлик F1 (ранний, ПК, ОГ, ПУ, 6-8см, 80-90г, 10-12кг/кв.м, стрессоуст, засолоч, конс.). Евро, 0,2</t>
  </si>
  <si>
    <t>Огурец Квартет F1 (ХИТ! скоросп, ПК, ОГ, тепл, пучковый, 9-12см, плотн, хруст, без горечи, урожайн.). Евро, 0,2</t>
  </si>
  <si>
    <t>Огурец Китайский болезнеустойчивый F1 (ХИТ! ПО, ОГ, тепл, длина до 50см! уст. к слаб.освещ, оч.урожайн!). Евро, 0,2</t>
  </si>
  <si>
    <t>Огурец Китайский жароустойчивый F1 (ХИТ! ПО, ОГ, тепл, длина до 50см! сладк, плодонос в жару, оч.урожайн!). Евро, 0,2</t>
  </si>
  <si>
    <t>Огурец Китайский плетистый (ПО, ОГ, 10-12см, 100-130г, холодост, стаб.урож, универсал). Евро, 0,5</t>
  </si>
  <si>
    <t>Огурец Китайский плетистый (ПО, ОГ, 10-12см, 100-130г, холодост, стаб.урож, универсал). МФ, 0,5</t>
  </si>
  <si>
    <t>Огурец Китайский фермерский F1 (ХИТ! ПО, ОГ, тепл, длина до40см! сладк, жаро/теневыносл, высокоур.). Евро, 0,2</t>
  </si>
  <si>
    <t>Огурец Китайский холодоустойчивый F1 (ХИТ! ПО, ОГ, тепл, длина до50см! сладк, оч.урожайн!). Евро, 0,2</t>
  </si>
  <si>
    <t>Огурец Клавдия F1 (ранний, ПК, ОГ, тепл, пучковый, 10-12см, 65-90г, без горечи, стаб.урож, консерв.). Евро, 0,2</t>
  </si>
  <si>
    <t>Огурец Княжна F1 (ранний, ПО, ОГ, ПУ, 8-10см, 70-120г, 5-13кг/кв.м, фаворит-универсал). Евро, 0,3</t>
  </si>
  <si>
    <t>Огурец Княжна F1 (ранний, ПО, ОГ, ПУ, 8-10см, 70-120г, 5-13кг/кв.м, фаворит-универсал). МФ, 0,3</t>
  </si>
  <si>
    <t>Огурец Коленька (ранний, ПО, ОГ, 9-13см, 75-90г, 3,5-5,2кг/кв.м, сладк, аромат, неприхотлив). Евро, 0,3</t>
  </si>
  <si>
    <t>Огурец Конкурент (скороспел, ПО, ОГ, 9-12см, 70-100г, 3,1-5кг/кв.м, для повтор.посев, засола и консерв.). Евро, 0,5</t>
  </si>
  <si>
    <t>Огурец Конни F1 (ПК, ОГ, ПУ, 7-9см, 60-80г, 14-16кг/кв.м, без горечи, товарн, транспортаб.). Евро, 0,2</t>
  </si>
  <si>
    <t>Огурец Коринна F1 (ПК, ОГ, ПУ, 7-9см, 5,2-6кг/кв.м, плотн, сочн, для салата, уст.к непогоде). Евро, 0,2</t>
  </si>
  <si>
    <t>Огурец Королевские пальчики F1 (ПК, тепл, 16-18см, 150-180г, 12,5-14,5кг/кв.м, без горечи, холодоуст). Евро, 0,2</t>
  </si>
  <si>
    <t>Огурец Красавчик F1 (ХИТ! ПО, ОГ, 6-8см, не перераст, дружн.урож, консервн.). Евро, 0,3</t>
  </si>
  <si>
    <t>Огурец Кристина F1 (ранний, ПК, ОГ, тепл, 10-12см, 75-100г, уст.к переп.темпер, интенс.урож, консервн). Евро, 0,2</t>
  </si>
  <si>
    <t>Огурец Крокодил Гена F1 (ранний, ОГ, тепл, длина до 50см! сладк, аромат, тонкокож, продожит.урожай). Евро, 0,2</t>
  </si>
  <si>
    <t>Огурец Крошка сын F1 (ранний, ПК, ОГ, тепл, 70-90г, 10кг/кв.м, сочн, ароматн, высокотовар, для сбора пикулями). Евро, 0,2</t>
  </si>
  <si>
    <t>Огурец Куколка F1 (ХИТ! ранний, ПК, ОГ, ПУ, 9-10см, 10-12кг/кв.м, сладк, хруст, высокотоварн., оч.урожайн). Евро, 0,2</t>
  </si>
  <si>
    <t>Огурец Кустовой (скороспел, ПО, ОГ, 9-12см, 100-120г, дружн.урож, продолж.плодонош.). Евро, 0,5</t>
  </si>
  <si>
    <t>Огурец Кустовой (скороспел, ПО, ОГ, 9-12см, 100-120г, дружн.урож, продолж.плодонош.). МФ, 0,5</t>
  </si>
  <si>
    <t>Огурец Кухарка F1 (ПО, ОГ, тепл, 8-10см, 90-100г, 8,5-10кг/кв.м, сладк, хруст, товарный). Евро, 0,3</t>
  </si>
  <si>
    <t>Огурец Ласточка F1 (ранний, ПО, ОГ, 11-12см, 80-100г, 8-10кг/кв.м, высокотоварн.). Евро, 0,3</t>
  </si>
  <si>
    <t>Огурец Либелле F1 (скороспел, ПО, ОГ, 10-13см, мелкошип, неприхотл, оч.урожайный, универсал). Евро, 0,3</t>
  </si>
  <si>
    <t>Огурец Лизетта F1 (скоросп, ПК, тепл, ПУ, пучковый, 6-8см, плотн, не перераст, интес.урож, товарн.). Евро, 0,2</t>
  </si>
  <si>
    <t>Огурец Любимчик (ранний, ПО, ОГ, ПУ, пучковый, 9-10,5см, 75-100г, 10,5-14кг/кв.м, плотн, без пустот, стабильн.). Евро, 0,5</t>
  </si>
  <si>
    <t>Огурец Любимый малыш (ПО, ОГ, ПУ, 9-11см, 80-100г, плотн, сладк, высокоурож.). Евро, 0,3</t>
  </si>
  <si>
    <t>Огурец Мадмуазель F1 (ранний, ПО, ОГ, тепл, пучковый, 9-11см, 90г, тонкокож, 15-35плодов.на растен.). Евро, 0,3</t>
  </si>
  <si>
    <t>Огурец Мал-да-удал F1 (ранний, ПК, 8-10см, плотн, хрус, аромат, высокоурож.). Евро, 0,2</t>
  </si>
  <si>
    <t>Огурец Малыш (скороспел, ПО, ОГ, 6-8см, 80-90г, высокоурож, товарн.). Евро, 0,3</t>
  </si>
  <si>
    <t>Огурец Малыш (скороспел, ПО, ОГ, 6-8см, 80-90г, высокоурож, товарн.). МФ, 0,3</t>
  </si>
  <si>
    <t>Огурец Мальчик с пальчик СеДеК F1 (ультраскороспел, ПК, ОГ, тепл, пучковый, 6-8см, 50-65г, 10-13кг/кв.м, вкусный). Евро, 0,2</t>
  </si>
  <si>
    <t>Огурец Маринда F1 (ранний, ПК, ОГ, тепл, пучковый, 10-12см, 65-75г, без горечи, интенс.урож, консерв.). Евро, 0,15</t>
  </si>
  <si>
    <t>Огурец Марьюшка F1 (оч.ранний, ОГ, ПУ, 8-10см, не перераст, друж.плодонош, для засола, консервный). Евро, 0,3</t>
  </si>
  <si>
    <t>Огурец Матильда F1 (ПК, ОГ: 2,7-5,1кг/кв.м, тепл: 10-12кг/кв.м, пучковый, 8-10см, без горечи, стаб.плодоношение). Евро, 0,2</t>
  </si>
  <si>
    <t>Огурец Маша F1 (ранний, ПК, ПУ, тепл, 8-12см, 90-110г, плотн, высокоурож.). Евро, 0,15</t>
  </si>
  <si>
    <t>I0000001044</t>
  </si>
  <si>
    <t>Огурец Мендельсон F1 (ХИТ! ранний, ПК, ПУ, тепл, 12-14см, 125-135г, 16 кг/кв.м, плотн, теневын, универс.). Евро, 5</t>
  </si>
  <si>
    <t>Огурец Мечта огородника F1 (ПО, ОГ, ПУ, 6-8см, 68-75г, холодост, стаб.урож.). Евро, 0,3</t>
  </si>
  <si>
    <t>Огурец Мизер F1 (ПО, 6-8см, плотн, хруст, высокотов, стаб.урож.). Евро, 0,3</t>
  </si>
  <si>
    <t>Огурец Мизер F1 (ПО, 6-8см, плотн, хруст, высокотов, стаб.урож.). МФ, 0,3</t>
  </si>
  <si>
    <t>Огурец Мизинчик F1 (ранний, ПО С частичной партенокарпией, ОГ, тепл, пучковый, 8-10см, 9,5-11кг/кв.м, сочн, не перерас, обил.плодон.). Евро, 0,3</t>
  </si>
  <si>
    <t>Огурец Мизинчик F1 (ранний, ПО С частичной партенокарпией, ОГ, тепл, пучковый, 8-10см, 9,5-11кг/кв.м, сочн, не перерас, обил.плодон.). МФ, 0,3</t>
  </si>
  <si>
    <t>Огурец Микрон (ранний, ПО, 6-8см, крепк, не перераст, обильн.плодонош, для засола и конс, для сбора пикулей). Евро, 0,5</t>
  </si>
  <si>
    <t>Огурец Микрон (ранний, ПО, 6-8см, крепк, не перераст, обильн.плодонош, для засола и конс, для сбора пикулей). МФ, 0,5</t>
  </si>
  <si>
    <t>У0000031293</t>
  </si>
  <si>
    <t>Огурец Мой генерал F1 (ранний, ПК, ОГ, ПУ, 16-18см, 12,5-15кг/кв.м, без горечи, теневын). Евро, 0,2</t>
  </si>
  <si>
    <t>Огурец Монастырский (ранний, ПО, ОГ, 10-12см, хруст, аром, лучший для засола). Евро, 0,3</t>
  </si>
  <si>
    <t>Огурец Монастырский (ранний, ПО, ОГ, 10-12см, хруст, аром, лучший для засола). МФ, 0,5</t>
  </si>
  <si>
    <t>I0000001125</t>
  </si>
  <si>
    <t>Огурец Моринга F1 (ранний, ПО, ОГ, ПУ, пучковый, 10-12см, 80-110г, без горечи, стаб.урож, высокотов.). Евро, 0,2</t>
  </si>
  <si>
    <t>Огурец Мотылёк F1 (ХИТ! ОГ, ПУ, пучковый, 6-8см, 10кг/кв.м, плотн, без гореч и пуст, для сбора пикулями, до 100пл. за сбор!). Евро, 0,3</t>
  </si>
  <si>
    <t>Огурец Мотылёк F1 (ХИТ! ОГ, ПУ, пучковый, 6-8см, 10кг/кв.м, плотн, без гореч и пуст, для сбора пикулями, до 100пл. за сбор!). МФ, 0,3</t>
  </si>
  <si>
    <t>I0000001041</t>
  </si>
  <si>
    <t>Огурец Моцарт F1 (ХИТ! ранний, ПК, ПУ, тепл, 11-13см, 90-120г, 17кг/кв.м, сладк, не теряет цвет при засолке.). Евро, 8</t>
  </si>
  <si>
    <t>Огурец Моя симпатия F1 (ПК, ПУ, 6-8см, 80-95г, сладк, аром, выравнен, высокоурож.). Евро, 0,2</t>
  </si>
  <si>
    <t>Огурец Музыкальные пальчики F1 (ХИТ! ранний, ПК, ОГ, тепл, 11-14см, 10-12кг/кв.м, плотн, обильн.плодонош.). Евро, 0,2</t>
  </si>
  <si>
    <t>Огурец Надёжный (ранний, ПО, ОГ, 10-12см, 2,5-3,9кг/кв.м, вкусн, стаб.урож в любое лето, универс.). Евро, 0,5</t>
  </si>
  <si>
    <t>Огурец Настоящий мужик F1 (ХИТ! ПО, ОГ, тепл, длина до 40см! 300-400г, 9,1кг/кв.м, оч.вкусный и урожайн) . Евро, 0,2</t>
  </si>
  <si>
    <t>Огурец Натали F1 (скороспел, ПО, ЗГ, 11-13см, 90-120г, 10,5кг/кв.м, без горечи, уст. к непогоде). Евро, 0,3</t>
  </si>
  <si>
    <t>Огурец Наша Даша F1 (ПК, ЗГ, 11-13см, 100-120г, 10,5-11,3кг/кв.м, без горечи, уст. к низк.освещению). Евро, 0,2</t>
  </si>
  <si>
    <t>Огурец Наша Маша F1 (скоросп, ПК, ПУ, пучковый, 8-10см, 70-100г, 16,2кг/кв.м, плотн, сладк, высокотоварн, универс). Евро, 0,2</t>
  </si>
  <si>
    <t>Огурец Наша Саша F1 (ПК, тепл, 18-20см, 170-190г, 10,3-12,5кг/кв.м, без горечи, выносл.к пониж. темп.). Евро, 0,2</t>
  </si>
  <si>
    <t>Огурец Невеста F1 (ХИТ! скороспел, ПО с частичн. партенокарпией, ЗГ, длина до 40см, плоды белые! салатн., оч.вкус). Евро, 0,3</t>
  </si>
  <si>
    <t>Огурец Нежинский (ПО, ОГ, ПУ, 9-13см, 90-110г, 4,9кг/кв.м, хруст, плодон.до осени, для засола и консер.). Евро, 0,5</t>
  </si>
  <si>
    <t>Огурец Нежинский (ПО, ОГ, ПУ, 9-13см, 90-110г, 4,9кг/кв.м, хруст, плодон.до осени, для засола и консер.). МФ, 0,5</t>
  </si>
  <si>
    <t>I0000013245</t>
  </si>
  <si>
    <t>Огурец Ниндзя F1 з/г(ран.спел, ПО,ПУ/парн., до 22 см, подх.для заморозки). Евро, 0,2</t>
  </si>
  <si>
    <t>Огурец Обильный (ранний, ОГ, ПУ, 8,5-9,5см, 70-100г, 11-12,5кг/кв.м, вкусн, неприхотлив, товарн.). Евро, 0,5</t>
  </si>
  <si>
    <t>Огурец Обильный (ранний, ОГ, ПУ, 8,5-9,5см, 70-100г, 11-12,5кг/кв.м, вкусн, неприхотлив, товарн.). МФ, 0,5</t>
  </si>
  <si>
    <t>Огурец Огородник F1 (ранний, ПО, ОГ, ПУ, 8-9см, 70-80г, 10,5-13,2кг/кв.м, плотн, сладк, ароматн.). Евро, 0,3</t>
  </si>
  <si>
    <t>Огурец Огородник F1 (ранний, ПО, ОГ, ПУ, 8-9см, 70-80г, 10,5-13,2кг/кв.м, плотн, сладк, ароматн.). МФ, 0,3</t>
  </si>
  <si>
    <t>Огурец Оконно-балконный F1 (ПО, ОГ, тепл, 14-16см, 90-105г, 12-15кг/кв.м, без горечи, салатн.). Евро, 0,2</t>
  </si>
  <si>
    <t>Огурец Пальцы Паганини F1 (ХИТ! ранний, ПК, ОГ, ПУ, 12-14см, 10-12кг/кв.м, плотн, сочный, теневыносл.). Евро, 0,2</t>
  </si>
  <si>
    <t>Огурец Пальчик (скороспел, ПО, ОГ, ПУ, пучковый, 9-12см, 115-120г, 4,8-6,5 кг/кв.м, вкусн). Евро, 0,3</t>
  </si>
  <si>
    <t>Огурец Пальчик (скороспел, ПО, ОГ, ПУ, пучковый, 9-12см, 115-120г, 4,8-6,5 кг/кв.м, вкусн). МФ, 0,3</t>
  </si>
  <si>
    <t>I0000014537</t>
  </si>
  <si>
    <t>Огурец Пальчики Белые о/г(ср.спел., ПО, ОГ/ПУ,веретеновидн.,бел.окрас,8-10см,для салатов и консерв.). Евро, 0,3</t>
  </si>
  <si>
    <t>Огурец Парад (ранний, ПО, ОГ, 10-11см, 90-105г, вкусн, друж.плодонош, консервн). Евро, 0,5</t>
  </si>
  <si>
    <t>Огурец Парус F1 (ранний, ПК, тепл, 8-10см, 70-80г, 14,3кг/кв.м, без горечи, друж.плодон.). Евро, 0,3</t>
  </si>
  <si>
    <t>Огурец Патриарх F1 (ПО, ОГ: 4,6кг/кв.м, тепл: 10,4кг/кв.м, пучковый, 8-10см, без горечи, интенс.плодонош, консервн). Евро, 0,3</t>
  </si>
  <si>
    <t>Огурец Патти F1 (ХИТ! ПК, ОГ, ПУ, пучковый, 10-11,5см, 60-90г, мелкошип, 25кг/кв.м, без горечи, для засолки и консервир). Евро, 0,2</t>
  </si>
  <si>
    <t>Огурец Пекинский вкусный F1 (ранний, ПО, ОГ, тепл, длина до40см, сладкий, продолжит.плодонош.). Евро, 0,2</t>
  </si>
  <si>
    <t>Огурец Подарок Востока F1 (ХИТ! ПК, тепл, пучковый, 8-10см, 85г, гладкий, 8-9кг/кв.м, сладк, хрустящ, продолж.плодон.). Евро, 0,2</t>
  </si>
  <si>
    <t>Огурец Подмосковные вечера СеДеК F1 (ранний, ПК, ПУ, 12-14см, 80-110г, теневын, обил.и продолжит.плодонош). Евро, 0,2</t>
  </si>
  <si>
    <t>Огурец Праздник поля F1 (ПО, ОГ, ПУ, 10-12см, 110-120г, сочный, продолж.плодон.). Евро, 0,3</t>
  </si>
  <si>
    <t>Огурец Престиж F1 (ХИТ! ранний, ПК, ОГ, ПУ, пучковый, 8-10см, 65-90г, до25кг/кв.м, без пустот, суперурожайный!). Евро, 0,2</t>
  </si>
  <si>
    <t>Огурец Престол F1 (ПО, ОГ, 10-12см, 80-100г, крепкий, хрустящ, плодон.до холодов). Евро, 0,3</t>
  </si>
  <si>
    <t>Огурец Прибыльный (ПО, ОГ, 20-22см, не желтеет, неприхотлив, универс.). Евро, 0,5</t>
  </si>
  <si>
    <t>Огурец Прибыльный (ПО, ОГ, 20-22см, не желтеет, неприхотлив, универс.). МФ, 0,5</t>
  </si>
  <si>
    <t>Огурец Примадонна F1 (ранний, ПК, ОГ, ПУ, пучковый, 10-12см, 85-110г, до 28кг/кв.м, без горечи, продолж.плодон.). Евро, 0,2</t>
  </si>
  <si>
    <t>I0000002520</t>
  </si>
  <si>
    <t>Огурец Прокофьев F1 (ХИТ! ранний, ПК, ПУ, тепл, 10-13см, 90-110г, 18кг/кв.м, плотн, теневыносл.). Евро, 8</t>
  </si>
  <si>
    <t>Огурец Разносол F1 (ПО, ОГ, 10-12см, не перераст, плодон.до осени, для засола и консерв.). Евро, 0,3</t>
  </si>
  <si>
    <t>Огурец Рита F1 (ранний, ПО, ОГ, тепл, 60-90г, 12,6-13кг/кв.м, без горечи, товарн, универс.). Евро, 0,2</t>
  </si>
  <si>
    <t>I0000001042</t>
  </si>
  <si>
    <t>Огурец Рихтер F1 (ХИТ! ранний, ПК, ПУ, тепл, 10-12см, 80-120г, 17кг/кв.м, без горечи, стрессоуст.). Евро, 8</t>
  </si>
  <si>
    <t>Огурец Романтик F1 (ПО, ОГ, 10-12см, 65-85г, не перераст, урож, консервн.). Евро, 0,3</t>
  </si>
  <si>
    <t>Огурец Русский стиль F1 (ХИТ! скоросп, ПК, ОГ, пучковый, 10-12см, без горечи, из золотой коллекции селикцион.достижений!). Евро, 0,2</t>
  </si>
  <si>
    <t>I0000001518</t>
  </si>
  <si>
    <t>Огурец Сальери F1 (ХИТ! ранний, ПК, ПУ, тепл, 10-13см, 90-120г, 18кг/кв.м, без пустот, стандарт, транспортаб.). Евро, 8</t>
  </si>
  <si>
    <t>I0000016200</t>
  </si>
  <si>
    <t>Серия Самкон</t>
  </si>
  <si>
    <t>огурец Самкон   F1. Евро, 0,2</t>
  </si>
  <si>
    <t>I0000016201</t>
  </si>
  <si>
    <t>огурец Самкон  9 F1. Евро, 0,2</t>
  </si>
  <si>
    <t>I0000016202</t>
  </si>
  <si>
    <t>огурец Самкон 10 F1. Евро, 0,2</t>
  </si>
  <si>
    <t>I0000016203</t>
  </si>
  <si>
    <t>огурец Самкон 11 F1. Евро, 0,2</t>
  </si>
  <si>
    <t>I0000016204</t>
  </si>
  <si>
    <t>огурец Самкон 12 F1. Евро, 0,2</t>
  </si>
  <si>
    <t>I0000016205</t>
  </si>
  <si>
    <t>огурец Самкон 13 F1. Евро, 0,2</t>
  </si>
  <si>
    <t>I0000016206</t>
  </si>
  <si>
    <t>огурец Самкон 14 F1. Евро, 0,2</t>
  </si>
  <si>
    <t>I0000016207</t>
  </si>
  <si>
    <t>огурец Самкон 15 F1. Евро, 0,2</t>
  </si>
  <si>
    <t>I0000016208</t>
  </si>
  <si>
    <t>огурец Самкон Пчёлка. Евро, 0,2</t>
  </si>
  <si>
    <t>Огурец Сахарный гигант F1 (ПО, ОГ, ПУ, длина до 35см, оч.сладк, уст. к хол, и слаб.освещ.). Евро, 0,2</t>
  </si>
  <si>
    <t>Огурец Сахарный малыш F1 (ХИТ! ранний, ПК, ПУ: 10,5-12,5 кг/кв.м, тепл: 18-22 кг/м2, пучковый, 7-8см, плотн, сладк, д/засола и конс.). Евро, 0,2</t>
  </si>
  <si>
    <t>Огурец Сладкая женщина F1 (ПО, ОГ, 20-22см, 160-200г, гладкий, 12,5кг/м², оч.слад, товарн, салат.). Евро, 0,3</t>
  </si>
  <si>
    <t>Огурец Сладкий король F1 (ранний, ПО, ОГ, тепл, 6-8см, 85-95г, 8,2кг/кв.м, крепк, сладк, дружн.урож.). Евро, 0,5</t>
  </si>
  <si>
    <t>У0000031294</t>
  </si>
  <si>
    <t>Огурец Сладкий крупнопупырчатый F1 (ПК, ЗГ, 16-20см, 15-16кг/кв.м, плотн, холодост, теневын.). Евро, 0,2</t>
  </si>
  <si>
    <t>Огурец Соловей F1 (ранний, ПО, ОГ, ПУ, 10-12см, 70-100г, стабильно высокоурож, засолочн.). Евро, 0,3</t>
  </si>
  <si>
    <t>Огурец Спартак F1 (ПО, тепл, 15-17см, 170г, 12,4-14кг/кв.м, плотн, сочн, теневын, универс.). Евро, 0,2</t>
  </si>
  <si>
    <t>Огурец Спартак F1 (ПО, тепл, 15-17см, 170г, 12,4-14кг/кв.м, плотн, сочн, теневын, универс.). МФ, 0,2</t>
  </si>
  <si>
    <t>Огурец Сударыня F1 (ранний, ПО, ОГ, ПУ, 8-10см, 95-105г, не желтеет, плотн, консервн.). Евро, 0,3</t>
  </si>
  <si>
    <t>Огурец Сударь F1 (ранний, ПО, ПУ, тепл, 8-10см, 95-105г, 8,3кг/кв.м, вкусн, аромат, для засола и конс.). Евро, 0,5</t>
  </si>
  <si>
    <t>Огурец Сын полка F1 (ХИТ! ПО, ОГ, ПУ, 6-8см, не перераст, обил/продолж плодон, до 100 мини-корнишонов за сбор!). Евро, 0,3</t>
  </si>
  <si>
    <t>Огурец Сын полка F1 (ХИТ! ПО, ОГ, ПУ, 6-8см, не перераст, обил/продолж плодон, до 100 мини-корнишонов за сбор!). МФ, 0,3</t>
  </si>
  <si>
    <t>Огурец Тополёк F1 (ПО, ЗГ, 12-14см, 100-130г, вкусн, высокоурож, товарн.). Евро, 0,3</t>
  </si>
  <si>
    <t>Огурец Тополёк F1 (ПО, ЗГ, 12-14см, 100-130г, вкусн, высокоурож, товарн.). МФ, 0,3</t>
  </si>
  <si>
    <t>I0000016214</t>
  </si>
  <si>
    <t>серия Троечка</t>
  </si>
  <si>
    <t>огурец Троечка  F1. Евро, 0,2</t>
  </si>
  <si>
    <t>Огурец Феникс (ПО, ОГ, 14-16см, 155-180г, вкусн, салатн, длит.плодоношение, высокотов.). Евро, 0,5</t>
  </si>
  <si>
    <t>Огурец Феникс (ПО, ОГ, 14-16см, 155-180г, вкусн, салатн, длит.плодоношение, высокотов.). МФ, 0,5</t>
  </si>
  <si>
    <t>Огурец Феникс (серия 2+1) (ПО, ОГ, 14-16см, 155-180г, вкусн, салатн, длит.плодоношение, высокотов.). Евро, 1,5</t>
  </si>
  <si>
    <t>I0000014003</t>
  </si>
  <si>
    <t>Огурец Феникс Плюс о/г(ср.спел., ПО,ОГ/ПУ, 10-12 см, веретеновидн.,для уп.в св.виде)). Евро, 0,3</t>
  </si>
  <si>
    <t>Огурец Филиппок F1 (ХИТ! ПО, ОГ, ПУ, 6-8см, 10кг/кв.м, не перераст, плот, консервн.). Евро, 0,3</t>
  </si>
  <si>
    <t>Огурец Филиппок F1 (ХИТ! ПО, ОГ, ПУ, 6-8см, 10кг/кв.м, не перераст, плот, консервн.). МФ, 0,3</t>
  </si>
  <si>
    <t>Огурец Фруктовый F1 (ранний, ПК, ПУ, тепл, пучковый, 14см, гладкий, сладк, ароматн, салатный, дружн.урож.). Евро, 0,2</t>
  </si>
  <si>
    <t>Огурец Хозяюшка F1 (ХИТ! ранний, ПК, ОГ, ПУ, 10-12см, 10,5-13кг/кв.м, плотн, без горечи, для салатов и заготовок). Евро, 0,2</t>
  </si>
  <si>
    <t>Огурец Хрумка F1 (ХИТ! ранний, ПК, ОГ, ПУ, 8-10см, 9,9-10,5кг/кв.м, не перераст, сочный, урож.в любое лето, универ.). Евро, 0,3</t>
  </si>
  <si>
    <t>Огурец Хрумка F1 (ХИТ! ранний, ПК, ОГ, ПУ, 8-10см, 9,9-10,5кг/кв.м, не перераст, сочный, урож.в любое лето, универ.). МФ, 0,3</t>
  </si>
  <si>
    <t>Огурец Хрустящий аллигатор F1 (ХИТ! ПО, ОГ, тепл, длина до35см, 280-310г, слад, длит.обил.плодонош.). Евро, 0,2</t>
  </si>
  <si>
    <t>Огурец Чемпион СеДеК F1 (ХИТ! ПК, ОГ, ПУ, пучковый, 10-12см, 75-110г, до 28кг/кв.м, плотн, стаб. урож. в любое лето). Евро, 0,2</t>
  </si>
  <si>
    <t>Огурец Чудо грунта F1 (ПО, ОГ, ПУ, 8-10см, 90г, 8-10кг/кв.м, сладк, без пустот, товарн.). Евро, 0,3</t>
  </si>
  <si>
    <t>Огурец Чудо грунта F1 (ПО, ОГ, ПУ, 8-10см, 90г, 8-10кг/кв.м, сладк, без пустот, товарн.). МФ, 0,3</t>
  </si>
  <si>
    <t>Огурец Чудо рынка F1 (ПК, ОГ: 5,7-7,2кг/кв.м, тепл: 22-23кг/кв.м, 18-20см, 180-200г, без горечи, теневын, салатн.). Евро, 0,2</t>
  </si>
  <si>
    <t>I0000001039</t>
  </si>
  <si>
    <t>Огурец Шопен F1 (ХИТ! ранний, ПК, ПУ, тепл, 10-13см, 90-120г, 17,8кг/кв.м, хрустящ, теневын, стандартн.). Евро, 8</t>
  </si>
  <si>
    <t>I0000002865</t>
  </si>
  <si>
    <t>Огурец Штабс-капитан F1 (ХИТ! ПО с частичн. партенокарп, ОГ, тепл, длина до40см! плоды белые! Оч.вкусные). Евро, 0,2</t>
  </si>
  <si>
    <t>I0000002523</t>
  </si>
  <si>
    <t>Огурец Штраус F1 (ранний, ПК, ЗГ, 16-18см, 135-180г, гладк, 16-17кг/кв.м, сочн, без горечи, салатн, стаб.урож.). Евро, 8</t>
  </si>
  <si>
    <t>I0000002526</t>
  </si>
  <si>
    <t>Огурец Шуберт F1 (ранний, ПК, ЗГ, 18-20см, 150-200г, гладк, 16-18кг/кв.м, сладк, салатн, уст. к холоду и тени). Евро, 8</t>
  </si>
  <si>
    <t>Огурец Элиза F1 (ПК, ПУ, 8-10см, 60-62г, 5,4кг/кв.м, плотн, вкусн, уст. к перепадам темп.). Евро, 0,2</t>
  </si>
  <si>
    <t>Огурец Ямал F1 (ранний, ПК, ОГ, ПУ, 8-10см, 10-12кг/кв.м, плотн, сочн, холодо/стрессоуст, для засола и конс.). Евро, 0,2</t>
  </si>
  <si>
    <t>ПАТИССОН</t>
  </si>
  <si>
    <t>патиссон Белоснежка®(ХИТ! ран.спел.,дисковидн,св.-зелен./белоснежн., до 350 г.). Евро, 1</t>
  </si>
  <si>
    <t>патиссон Белоснежка®(ХИТ! ран.спел.,дисковидн,св.-зелен./белоснежн., до 350 г.). МФ, 1</t>
  </si>
  <si>
    <t>I0000002368</t>
  </si>
  <si>
    <t>патиссон Белые 13(ран.спел.,дисковидн, бел./белоснежн., 350-450 г.). Евро, 1</t>
  </si>
  <si>
    <t>патиссон Веселые друзья (смесь) (ран.спел.,дисковидн,бел.,желт.,св.-зелен./бел., 150-250 г.). Евро, 1</t>
  </si>
  <si>
    <t>патиссон Гоша 1г(ран.спел.,дисковидн,т.-зелен./бел., 250- 350 г.). Евро, 1</t>
  </si>
  <si>
    <t>патиссон Гоша 1г(ран.спел.,дисковидн,т.-зелен./бел., 250- 350 г.). МФ, 1</t>
  </si>
  <si>
    <t>патиссон Диск(ран.спел.,колокольчат.,зелен.,крем.-бел./бел., до 350 г.). Евро, 1</t>
  </si>
  <si>
    <t>патиссон Диск(ран.спел.,колокольчат.,зелен.,крем.-бел./бел., до 350 г.). МФ, 1</t>
  </si>
  <si>
    <t>патиссон Зонтик(ран.спел.,чашевидн.,колокольчат.,св.зелен.,бел./бел., 800-1100 г.). Евро, 1</t>
  </si>
  <si>
    <t>патиссон консервный Солнечный Зайчик F1(ран.спел.,дисковидн.,ярк.-желт.,/крем., до 150-250 г.). Евро, 0,5</t>
  </si>
  <si>
    <t>патиссон Марров(ср.ран.,дисковидн.,бел./бел., 250-300 г.). Евро, 1</t>
  </si>
  <si>
    <t>патиссон Марров(ср.ран.,дисковидн.,бел./бел., 250-300 г.). МФ, 1</t>
  </si>
  <si>
    <t>патиссон Пятачок(ран.спел.,тарельчат.,бел./бел., до 220 г.). Евро, 1</t>
  </si>
  <si>
    <t>патиссон Родео F1(ран.спел.,дисковидн.,бел./бел., 250-300 г.). Евро, 1</t>
  </si>
  <si>
    <t>ПЕРЕЦ</t>
  </si>
  <si>
    <t>I0000001065</t>
  </si>
  <si>
    <t>Серия Полководцы</t>
  </si>
  <si>
    <t>перец Адмирал Колчак F1 (ХИТ! сладк; тепл,60-80 см,кубовид,желт,250-300 г,толстостенные). Евро, 0,1</t>
  </si>
  <si>
    <t>I0000001446</t>
  </si>
  <si>
    <t>перец Адмирал Нахимов F1 (ХИТ! сладк;тепл,80-90см,кубовид,крас,250-350г,толстостенные,ур-ть 8-8,5кг/кв.м). Евро, 0,1</t>
  </si>
  <si>
    <t>I0000001445</t>
  </si>
  <si>
    <t>перец Адмирал Ушаков F1 (ХИТ! сладк; тепл,70-80 см,кубовид,крас,250-350г,толстостенные,ур-ть 7,5-8кг/кв.м). Евро, 0,1</t>
  </si>
  <si>
    <t>I0000002429</t>
  </si>
  <si>
    <t>перец Ажур F1 (ХИТ! сладк; тепл,90-100 см,кубовид,крас,250-350 г,стенка до 1 см,ур-ть 8-10 кг/кв.м). Евро, 0,1</t>
  </si>
  <si>
    <t>I0000012771</t>
  </si>
  <si>
    <t>перец Алексий (сладк; ОГ,ПУ, конусовид,крас,180-200 г,толстостен,ур.7-8 кг/кв.м). Евро, 0,1</t>
  </si>
  <si>
    <t>перец Аллигатор® (ХИТ! сладк; ЗГ,до 90 см,удлин-призмовид,крас,200-300 г,толстостен). Евро, 0,1</t>
  </si>
  <si>
    <t>перец Аннушка (сладк; ОГ,ПУ,60-70 см, призмовид,густо-красн,170-220 г,толстостен,ур.7кг/кв.м). Евро, 0,2</t>
  </si>
  <si>
    <t>перец Антошка (сладк; ПУ,50-60 см,конусовид,тёмно-красн,100-150г,толстостен,ур.6,4-6,8 кг/кв.м). Евро, 0,2</t>
  </si>
  <si>
    <t>перец Антошка (сладк; ПУ,50-60 см,конусовид,тёмно-красн,100-150г,толстостен,ур.6,4-6,8 кг/кв.м). МФ, 0,2</t>
  </si>
  <si>
    <t>перец Аполлон® F1 (ХИТ! сладк; ранний,ОГ,ПУ,50-55см,конус-призмовид,крас,150-200 г,толстостен,ур. 6,8-7 кг/кв.м). Евро, 0,1</t>
  </si>
  <si>
    <t>перец Арамис F1 (сладк; ОГ,ПУ,90-100 см,призмовид,темно-крас,280-300г,толстостен,ур.7,5-7,8 кг/кв.м). Евро, 0,1</t>
  </si>
  <si>
    <t>перец Барчук  (сладк; ранний,ОГ,ПУ,60-70см,цилиндр,темно-крас,100-150 г,толстостен,ур.5-6 кг/кв.м). Евро, 0,2</t>
  </si>
  <si>
    <t>перец Белозёрка (ХИТ! сладк; ОГ,ПУ,50-60см,конусовид,крас,70-100г,толстостен,обильн.плодонош). Евро, 0,2</t>
  </si>
  <si>
    <t>Серия Болгарские</t>
  </si>
  <si>
    <t>перец Белый налив (сладк; скороспел,супер сорт для ОГ,45-55см,удлин-конусовид,крас,60-70г,толстостен). Евро, 0,2</t>
  </si>
  <si>
    <t>перец Богатырь (ХИТ! сладк; ОГ,ПУ,55-70см,конусовид,крас,100-120г,толстостен). Евро, 0,2</t>
  </si>
  <si>
    <t>I0000003180</t>
  </si>
  <si>
    <t>перец Болгарский (сладк; ОГ,ПУ,конусовид,крас,120-150г,толстостен,ур.6,3-7кг/кв.м). Евро, 0,2</t>
  </si>
  <si>
    <t>перец Бублик (сладк; ранний,ОГ,ПУ,60-70см,плоскоокруг,ярко-крас,80-100г,толстостен,ур.5-5,5кг/кв.м). Евро, 0,1</t>
  </si>
  <si>
    <t>Перцы полуострые</t>
  </si>
  <si>
    <t>перец Букет Востока F1(ХИТ! полуостр; ОГ,ПУ,0,8-1м,узкоконусовид,крас,90-130г,тонкостен,ур.5,5-6 кг/кв.м). Евро, 0,1</t>
  </si>
  <si>
    <t>перец Буржуин F1 (сладк; ОГ,ПУ,80см,призмовид,крас,120-150г,толстостен,ур.6,5-7кг/кв.м). Евро, 0,1</t>
  </si>
  <si>
    <t>I0000015833</t>
  </si>
  <si>
    <t>Серия Супер Хот</t>
  </si>
  <si>
    <t>перец Бхут Джолокия Super Hot (супер супер-остр; тепл, 1,1 м, конический, ярко-красн, тонкостен), . Евро, 5</t>
  </si>
  <si>
    <t>Перцы острые</t>
  </si>
  <si>
    <t>перец Венгерский желтый (остр; ранний,ОГ,ПУ,40-45см,узкоконусовид,крас,35-40г,тонкостен,ур.6-6,4кг/кв.м). МФ, 0,1</t>
  </si>
  <si>
    <t>перец Виктория (сладк; ср-спел, ОГ, ПУ, 45-60 см, конические, темно-красные, 100-120 г, толстостенные). Евро, 0,3</t>
  </si>
  <si>
    <t>перец Виктория (сладк; ср-спел, ОГ, ПУ, 45-60 см, конические, темно-красные, 100-120 г, толстостенные). МФ, 0,2</t>
  </si>
  <si>
    <t>перец Виолетта (сладк; ср-ранн, ОГ, ПУ, 55-60 см, призмовидные, темно-красные, 100-120 г, толстостенные, ур. 7-8 кг/кв.м). Евро, 0,2</t>
  </si>
  <si>
    <t>перец Витязь F1 (сладк;ранний, ОГ, ПУ,  40-50 см, конycoвид, красные, 75-100 (до 200) г, толстостен, ур. 7-7,2 кг/кв.м). Евро, 0,3</t>
  </si>
  <si>
    <t>перец Вихрь (остр; ср-ранн, ОГ, ПУ, 40-50 см, удлиненно-конусовид, темно-красные, 30-40 г, тонкостен). Евро, 0,2</t>
  </si>
  <si>
    <t>Перцы острые декор.</t>
  </si>
  <si>
    <t>перец Всё небо в звёздах F1 (ХИТ! кустарн; ОГ,ПУ, 50-60 см, округлые, разноцветные, острые). Евро, 0,05</t>
  </si>
  <si>
    <t>перец Галатея (кустарн; ср-ранн, ОГ,ПУ, 75-80 см, призмовид, желто-оранж, 110-120 г, толстостен, ур. 6,5-7 кг/кв.м). Евро, 0,2</t>
  </si>
  <si>
    <t>I0000002259</t>
  </si>
  <si>
    <t>перец Генерал Врангель F1 (ХИТ! сладк; ОГ,ЗГ,1,5-2,0 м, удлинен-конич., ярко-красные, 120-180 г, толстостен, ур. 6,5-7 кг/кв.м). Евро, 0,1</t>
  </si>
  <si>
    <t>I0000001444</t>
  </si>
  <si>
    <t>перец Генерал Деникин F1 (ХИТ! сладк; ОГ,ПУ, 1-1,5 м, удлинен-призмовид, ярко-красные, 180-200 г, толстостен, ур. 6,5-7 кг/кв.м). Евро, 0,1</t>
  </si>
  <si>
    <t>перец Глоб (сладк; ОГ,ПУ, 50-65 см, округло-плоские, темно-красные, 160-180 г, толстостен). Евро, 0,2</t>
  </si>
  <si>
    <t>I0000002187</t>
  </si>
  <si>
    <t>Перец  полуострый</t>
  </si>
  <si>
    <t>перец Гогошары (ХИТ! сладкий; ОГ,ПУ, 50-60 см, округло-плоские, красные, 90-130 г, толстостен, ур. 7-10 кг/кв.м). Евро, 0,1</t>
  </si>
  <si>
    <t>перец Голдфингер (кустарн; ультраскороспел, ОГ,ПУ, комн.усл., 40-50 см, конические, ярко-желтые, 4-5 г, тонкостенные). Евро, 0,15</t>
  </si>
  <si>
    <t>перец Горгона (ХИТ! остр; ранний, ОГ,ПУ, 55-65 см, конусовид, насыщ-красн). Евро, 0,2</t>
  </si>
  <si>
    <t>перец Дар Каспия (сладк; ОГ,ПУ, 60-80 см, призмовид, темно-красные, 100-120 г, толстостен, ур. 7-8 кг/кв.м). Евро, 0,2</t>
  </si>
  <si>
    <t>перец Дарина (сладк; ранний, 50-55 см, усечённо-конусовид, тёмно-красн, 100-150 г, толстостен, ур. 5-6,5 кг/кв.м). Евро, 0,2</t>
  </si>
  <si>
    <t>перец Дарья (сладк; ранний, ОГ,ПУ, 60-80 см, удлинен-конусовид, темно-крас, 150-180 г, тонкостен, ур. 6-7 кг/кв.м). Евро, 0,2</t>
  </si>
  <si>
    <t>перец Джек® (ХИТ! сладк; ранний, ОГ,ПУ, 55-60 см, кубовид, ярко-оранж, 150-200 г, толстостен, ур. 5-6 кг/кв.м). Евро, 0,1</t>
  </si>
  <si>
    <t>перец Джульетта® F1 (ХИТ! сладк; ранний, ОГ, тепл, 40-45 см, ширококонусовид, насыщ-красные, 150-200 г, толстостен). Евро, 0,1</t>
  </si>
  <si>
    <t>перец Динозавр F1 (сладк с острой перегородк; очень ранний, ОГ,ПУ, 40-60 см, хоботовид, темно-желт, 150-200 (до 400) г, тонкостен, ур. 7,4 кг/кв.м). Евро, 0,1</t>
  </si>
  <si>
    <t>I0000014279</t>
  </si>
  <si>
    <t>перец Для Фарширования Красный (сл.) (ран.спел., ОГ,ПУ, 0,4-0,5 м, конусовидн., ярко-красные, 120-150 г, толстостен, ур. 5-5,5 кг/кв.м). Евро, 0,1</t>
  </si>
  <si>
    <t>перец Жанна (сладк; ранний, ОГ,ПУ, 50-60 см, удлин-конусовид, темно-красные, 80-100 г, толстостен, ур. 6,5-7 кг/кв.м). Евро, 0,2</t>
  </si>
  <si>
    <t>перец Жёлтый слон® (ХИТ! сладк; ОГ,ПУ, средней высоты, удлинен-конусовид, ярко-желтые, 150-200г, ур. 6-7 кг/кв.м). Евро, 0,1</t>
  </si>
  <si>
    <t>Серия Звёзды Востока</t>
  </si>
  <si>
    <t>перец Звезда Востока® F1 (ХИТ! сладк; ранний, ОГ, тепл, среднеросл, кубовид, красн, 150-180 г, толстостен, ур. 7 -7,5 кг/кв.м). Евро, 0,1</t>
  </si>
  <si>
    <t>перец Звезда Востока белая F1(сладк; ранний, ОГ,ПУ, 60-70 см, кубовид, темно-желт, 200-240 г, толстостен, ур 7,2-7,6 кг/кв.м). Евро, 0,1</t>
  </si>
  <si>
    <t>перец Звезда Востока белая в жёлтом F1 (сладк; ранний, ОГ, тепл, 60-70 см, призмовид, мощные, ярко-желтые, 180-240 г, толстостен). Евро, 0,1</t>
  </si>
  <si>
    <t>перец Звезда Востока белая в красном F1(сладк; ранний, ОГ,ПУ, среднерос, кубовид, красн, 150-200 г, толстостен, ур. 7,2-7,5 кг/кв.м). Евро, 0,1</t>
  </si>
  <si>
    <t>У0000031466</t>
  </si>
  <si>
    <t>перец Звезда Востока гигантская F1 (ХИТ! сладк; ОГ,тепл, 70-80 см, кубовид-призмовид, мощные, ярко-красные, 300-400 г, толстостен, ур 8-8,5 кг/кв.м). Евро, 0,1</t>
  </si>
  <si>
    <t>перец Звезда Востока жёлтая F1 (ХИТ! сладк; ранний, ОГ,ПУ, 60-70 см, кубовид, желтые, 250-300 г, толстостенные). Евро, 0,1</t>
  </si>
  <si>
    <t>I0000000859</t>
  </si>
  <si>
    <t>перец Звезда Востока гигантская жёлтая F1 (ХИТ! сладк; ОГ, ПУ, 70-80 см, кубовид-призмовид, мощные, ярко-желт, 300-400 г, толстостен, ур. 8-8,5 кг/кв.м). Евро, 0,1</t>
  </si>
  <si>
    <t>перец Звезда Востока золотистая F1 (ХИТ! сладк; ранний, ОГ, тепл, 60-70 см, призмовид, ярко-желт, 160-240 г, толстостен). Евро, 0,1</t>
  </si>
  <si>
    <t>перец Звезда Востока красная F1 (ХИТ! сладк; ОГ, тепл, 60-70 см, призмовид, темно-красн, 200-260 г, толстостен, ур. 7,5-8 кг/кв.м). Евро, 0,1</t>
  </si>
  <si>
    <t>перец Звезда Востока гигантская красная F1 (ХИТ! сладк; ОГ, тепл, 70-80 см, кубовид-призмовид, мощные, красные, 300-400 г, ур. 8-8,5 кг/кв.м). Евро, 0,1</t>
  </si>
  <si>
    <t>перец Звезда Востока мандариновая F1 (ХИТ! сладк; ОГ, ПУ, 60-70 см, кубовидн, ярко-оранжев,140-160 (до200) г, толстостен, ур.7,5-8 кг/кв.м). Евро, 0,1</t>
  </si>
  <si>
    <t>перец Звезда Востока оранжевая F1 (ХИТ! сладк; ранний, ОГ, тепл, 60-80 см, кубовид, ярко-оранж, 140-160 (до250г) г, толстостенные, ур. 7,5-8 кг/кв.м). Евро, 0,1</t>
  </si>
  <si>
    <t>перец Звезда Востока фиолетовая F1 (сладк; ОГ, ПУ, 60-70 см, цилиндр, темно-крас, 180-200 (до 300) г, толстостен, ур. 6,5-7 кг/кв.м). Евро, 0,1</t>
  </si>
  <si>
    <t>I0000002224</t>
  </si>
  <si>
    <t>перец Зевс (сладк; ОГ,ПУ, 90 см, удлинен-конусовид, крас, 150-180 г, толстостен, ур. 6,7 кг/кв.м). Евро, 0,1</t>
  </si>
  <si>
    <t>I0000002320</t>
  </si>
  <si>
    <t>перец Злата (сладк; ОГ,ПУ, 50-60 см, конусовид, крас, 100-120 г, толстостен, ур. 5,5-6 кг/кв.м). Евро, 0,1</t>
  </si>
  <si>
    <t>перец Змей Горыныч F1 (ХИТ! остр; ОГ, тепл, 50-60 см, удлин-конусовид, темно-красн, 10-15 г, тонкостен, ур. 3,5-4,2 кг/кв.м). Евро, 0,1</t>
  </si>
  <si>
    <t>перец Змей Горыныч F1 (ХИТ! остр; ОГ, тепл, 50-60 см, удлин-конусовид, темно-красн, 10-15 г, тонкостен, ур. 3,5-4,2 кг/кв.м). МФ, 0,1</t>
  </si>
  <si>
    <t>перец Золотое чудо (сладк; ОГ,ПУ, 60-70 см, призмовид, оранж-красн, 150-200 г, толстостен). Евро, 0,2</t>
  </si>
  <si>
    <t>I0000002225</t>
  </si>
  <si>
    <t>перец Золотой Лапоть (сладк; ОГ,ПУ,80-85 см, цилиндр, желт, 180-250г, толстостен). Евро, 0,1</t>
  </si>
  <si>
    <t>I0000001968</t>
  </si>
  <si>
    <t>перец Золотой рог F1 (сладк с пикант вкусом; очень ранний, ОГ,ПУ, 40-60 см, хоботовид, темно-желт, 150-200 г, тонкостен, ур. 7,4 кг/кв.м). Евро, 0,05</t>
  </si>
  <si>
    <t>перец Золотой юбилей (сладк; ОГ, тепл,45-55 см, округ-плоск, золот-желт, 110-180 г, толстостен). Евро, 0,2</t>
  </si>
  <si>
    <t>перец Зорька® (ХИТ! сладк; очень скороспел, ОГ,ПУ, 45-50 см, призмовид, интенсив-крас, 100-130 г, толстостен, ур. 8-10 кг/кв.м). Евро, 0,2</t>
  </si>
  <si>
    <t>перец Игрок® (ХИТ! сладк; ранний, ОГ, тепл, 45-50 см, кубовид, насыщ-крас, 130-150 г, толстостен, ур. 5-6 кг/кв.м). Евро, 0,1</t>
  </si>
  <si>
    <t>перец Игрок® (ХИТ! сладк; ранний, ОГ, тепл, 45-50 см, кубовид, насыщ-крас, 130-150 г, толстостен, ур. 5-6 кг/кв.м). МФ, 0,2</t>
  </si>
  <si>
    <t>перец Иоланта (сладк; ОГ,ПУ, 55-65 см, призмовид, темно-красн, 130-160 г, толстостен). Евро, 0,2</t>
  </si>
  <si>
    <t>перец Ирина СеДеК (сладк; ОГ,ПУ,40-45 см, конусовид,красн,100-130 г,толстостен, ур. 5 кг/кв.м). Евро, 0,2</t>
  </si>
  <si>
    <t>I0000014393</t>
  </si>
  <si>
    <t>перец Искры (кустарн; ОГ, на балк., 25-30 см, удлинен-конич, ярко-красн, остр). Евро, 0,1</t>
  </si>
  <si>
    <t>перец Испанский сладкий (ранний, ОГ, ПУ, 70-80 см, удлин-конусовид, крас, 110-115 (до 200) г, толстостен). Евро, 0,2</t>
  </si>
  <si>
    <t>I0000014260</t>
  </si>
  <si>
    <t>перец Кайенский классический (остр; ОГ,ПУ, 1,2 м, удлин-конусовид, ярко-крас, 30-40г, очень острый). Евро, 0,1</t>
  </si>
  <si>
    <t>перец Калифорнийское Чудо (сладк; ОГ,ПУ, 50-65 см, кубовид, темно-красн, 80-130 г, толстостен). Евро, 0,2</t>
  </si>
  <si>
    <t>I0000002882</t>
  </si>
  <si>
    <t>перец Калифорнийское чудо золотое (сладк; ранний, ОГ,ПУ, 50-60 см, кубовид, ярко-желтые, 80-130 г, толстостен). Евро, 0,2</t>
  </si>
  <si>
    <t>I0000012698</t>
  </si>
  <si>
    <t>перец Калифорнийское чудо фиолетовое F1 (сладк; ОГ, тепл, 60-70 см, кубовид-призмовидн, темно-красн, 150-200г, толстостен, ур 6,5-7 кг/кв.м). Евро, 0,1</t>
  </si>
  <si>
    <t>перец Калифорния вондер голд (сладк; ранний, ОГ, ПУ, 50-60 см, кубовид, желтые, 80-130 г, толстостенные). Евро, 0,2</t>
  </si>
  <si>
    <t>перец Калифорния вондер ред (сладк; ОГ, тепл, 70-80 см, кубовид, красные, 90-120 г, толстостен). Евро, 0,2</t>
  </si>
  <si>
    <t>перец Калифорния вондер ред (сладк; ОГ, тепл, 70-80 см, кубовид, красные, 90-120 г, толстостен). МФ, 0,2</t>
  </si>
  <si>
    <t>перец Канцлер F1 (сладк; ранний, ПУ, 70-80 см, конусовид, красные,80-120 г, толстостен). Евро, 0,3</t>
  </si>
  <si>
    <t>перец Карамельные палочки F1 (сладк; скороспелый, ОГ, ПУ, 50-60 см, узко-конич, красные, 15-20 г). Евро, 0,1</t>
  </si>
  <si>
    <t>перец Карапуз (ХИТ! сладк; ранний, ОГ,ПУ, 50-60 см, усеченно-конусовид, темно-оранж, 120-150 г, толстостен). Евро, 0,2</t>
  </si>
  <si>
    <t>перец Карапуз (ХИТ! сладк; ранний, ОГ,ПУ, 50-60 см, усеченно-конусовид, темно-оранж, 120-150 г, толстостен). МФ, 0,2</t>
  </si>
  <si>
    <t>перец Карлсон (сладк; ср-ранн, ОГ,ПУ, 40-55 см, кубовид, красные,110-130 г, толстостен, ур. 3,5-6 кг/кв.м). Евро, 0,1</t>
  </si>
  <si>
    <t>I0000012772</t>
  </si>
  <si>
    <t>перец Кирилл (сладк; ср-ранн, ОГ,ПУ, 100-110 см, конусовид, ярко-крас, 180-200 г, толстостен, ур. 6,5-7 кг/кв.м). Евро, 0,1</t>
  </si>
  <si>
    <t>перец Китайский огонь F1 (ХИТ! остр; ОГ,ПУ, 50-60 см, удлинен-конусовидн, насыщ-красн, 35-40 г, жгуче-острый). Евро, 0,1</t>
  </si>
  <si>
    <t>перец Китайский фонарик (сладк; ОГ,ПУ, 40-50 см, кубовид, красные, 200-250 г, толстостен, ур. 6,5-7,5 кг/кв.м). МФ, 0,2</t>
  </si>
  <si>
    <t>I0000014424</t>
  </si>
  <si>
    <t>перец Клайд F1 (остр; ОГ,ПУ,до 90 см, удлин-конусовид, насыщ-красные, 70-90 г, ур. 3,5-4,7 кг/кв.м). Евро, 0,1</t>
  </si>
  <si>
    <t>перец Клюв сокола (ХИТ! кустарн; ОГ,ПУ, комн.усл., 50 см, узкоконусовид, ярко-крас, очень острый, 5-10 г, ур. 4,5-5 кг/кв.м). Евро, 0,2</t>
  </si>
  <si>
    <t>перец Клюв сокола (ХИТ! кустарн; ОГ,ПУ, комн.усл., 50 см, узкоконусовид, ярко-крас, очень острый, 5-10 г, ур. 4,5-5 кг/кв.м). МФ, 0,2</t>
  </si>
  <si>
    <t>перец Князь Игорь® F1 (ХИТ! сладк; ср-ранн, ОГ, ПУ, 60-70 см, удлин-кубовид, темно-красн, 120 г, толстостен). Евро, 0,2</t>
  </si>
  <si>
    <t>перец Князь Игорь® F1 (ХИТ! сладк; ср-ранн, ОГ, ПУ, 60-70 см, удлин-кубовид, темно-красн, 120 г, толстостен). МФ, 0,2</t>
  </si>
  <si>
    <t>перец Колобок (ХИТ! сладк; ранний, ОГ,ПУ, 30-40 см, округл, темно-красн, 80-90 г, толстостен, ур. 4,5-5 кг/кв.м). Евро, 0,2</t>
  </si>
  <si>
    <t>Перцы супер-острые острые</t>
  </si>
  <si>
    <t>перец Колпак Петрушки (кустарн; ОГ,ПУ, 90-100 см, ребристые, ярко-оранжевые, 10 г, очень острые). Евро, 0,05</t>
  </si>
  <si>
    <t>I0000014395</t>
  </si>
  <si>
    <t>перец Конфетти (кустарн; ОГ,ПУ, комн.усл., 20-25 см, округлые, ярко-красные, острый). Евро, 0,1</t>
  </si>
  <si>
    <t>перец Корвет (сладк; ранний, о/г-пл. укр, 50-60 см, конич, ярко-красн, 60-80 г, толстостен, ур. 6-7 кг/кв.м). Евро, 0,2</t>
  </si>
  <si>
    <t>перец Корвет оранжевый (сладк; ранний, ОГ,ПУ, 50-60 см, конусовид, ярко-оранж, 60-80 г, толстостен). Евро, 0,2</t>
  </si>
  <si>
    <t>перец Кореновский (сладк; ОГ,ПУ, 55-65 см, призмовид, красн, 120-160 г, толстостен, ур. 4,2 кг/кв.м). Евро, 0,2</t>
  </si>
  <si>
    <t>перец Красный дракон (остр; ранний, ОГ, тепл, 55-70 см, узкоконусовид, темно-красн, 10-15 г, тонкостен, ур. 2,3-3,7 кг/кв.м). Евро, 0,1</t>
  </si>
  <si>
    <t>перец Красный слон (ХИТ! сладк; ОГ,ПУ, 80-90 см, удлин-конусовид, темно-красн,130-150 (до 200 ) г, толстостен, ур. 6-7 кг/кв.м). Евро, 0,1</t>
  </si>
  <si>
    <t>I0000014396</t>
  </si>
  <si>
    <t>перец Крепкий Орешек (сладкий) (ран.спел.,ОГ/ПУ. окр.-плоск.,ярк/красн.,мясист, 70-90г., в св.виде, консервир.,заморозки, фарширов.). Евро, 0,1</t>
  </si>
  <si>
    <t>I0000013998</t>
  </si>
  <si>
    <t>перец Крокодил F1 (остр; ОГ,ПУ, до 80 см, конусовид-призмовид, темно-красн, 130-150г, толстостен, ур. 6-7 кг/кв.м). Евро, 0,1</t>
  </si>
  <si>
    <t>перец Кубок победителю F1 (сладк; ОГ,ПУ, 50-60 см, кубовид, крас, 150-200 (до 300) г, толстостен, ур. 6,2 кг/кв.м). Евро, 0,1</t>
  </si>
  <si>
    <t>перец Купец (сладк; ОГ,ПУ, 55-65 см, широкопризмовид, темно-крас, 120-150 г, толстостен, ур 6-6,5 кг/кв.м). Евро, 0,1</t>
  </si>
  <si>
    <t>перец Купчишка F1 (сладк; ОГ,ПУ, 60-70 см, широкопризмовид, красн, 150-180 г, толстостен, ур 6-6,5 кг/кв.м). Евро, 0,1</t>
  </si>
  <si>
    <t>перец Летящий мотылёк F1 (кустарн; ОГ,ПУ, 60-80см, плоды-колокольчики, желт-оранж, 30-40г, обильное продолж. плодонош). Евро, 0,05</t>
  </si>
  <si>
    <t>перец Лиза (сладк; ранний, ОГ,ПУ, 70-80 см, конусовид, ярко-красные, 60-80г, обильное плодоношение). Евро, 0,2</t>
  </si>
  <si>
    <t>перец Лолита (сладк; ОГ,ПУ, 50-60 см, конусовид с тупой вершиной, красн, 130-150 г, толстостен, ур 6,3 кг/кв.м). Евро, 0,2</t>
  </si>
  <si>
    <t>перец Магма (остр; очень ранний, ОГ,ПУ, 75 см, удлин-конусовид, крас, 30-40 г, тонкостен, обильное плодонош). Евро, 0,3</t>
  </si>
  <si>
    <t>перец Магма (остр; очень ранний, ОГ,ПУ, 75 см, удлин-конусовид, крас, 30-40 г, тонкостен, обильное плодонош). МФ, 0,3</t>
  </si>
  <si>
    <t>перец Маленькое чудо (кустарн; ранний, ОГ,ПУ, комн.усл, 50 см, тупоконич, красные, до 5 г, острого вкуса). Евро, 0,1</t>
  </si>
  <si>
    <t>перец Мамка (остр; ОГ,ПУ, 60 см, удлин-конусовид, красные,10-20 г, ур. 2,3-2,6 кг/кв.м). Евро, 0,2</t>
  </si>
  <si>
    <t>перец Мамонт F1 (пикант; ранний, ОГ, ПУ, 50-60 см, узкоконусовид, ярко-желтые, сладк с острой перегород, 200-300 г, ур. 7,5 кг/кв.м). Евро, 0,1</t>
  </si>
  <si>
    <t>перец Марина (сладк; ОГ,ПУ, 75-80 см, призмовид, желто-оранж, 150-180 г, толстостен, ур. 6,1 кг/кв.м). Евро, 0,2</t>
  </si>
  <si>
    <t>У0000031467</t>
  </si>
  <si>
    <t>перец Маршал F1 (ХИТ! сладк; ОГ, тепл, 70-80 см, кубовид-призмовид, красные, стенка до 1см! 300-400 г, ур. 8,0-8,5 кг/кв.м). Евро, 0,1</t>
  </si>
  <si>
    <t>I0000001447</t>
  </si>
  <si>
    <t>перец Маршал Жуков F1 (сладк; ОГ, тепл, 80-90 см, кубовид-призмовид, ярко-красные, стенка до 1см! 350-400 г, ур. 8-8,5 кг/кв.м). Евро, 0,1</t>
  </si>
  <si>
    <t>перец Марья (сладк; ранний, ОГ, тепл, 60-65 см, призмовид, темно-оранж, 100-150 г, толстостен, ур. 5 кг/кв.м). Евро, 0,2</t>
  </si>
  <si>
    <t>перец Медалист F1 (сладк; ранний, ОГ, ПУ, 60-70 см, удлин-конусовид, ярко-красн, 130-150 г, толстостен, ур. 6,5-7,2 кг/кв.м). Евро, 0,1</t>
  </si>
  <si>
    <t>перец Меркурий (сладк; ранний, ОГ,ПУ, 60-70 см, конусовид, крас, 100-120 г, толстостен, ур. 11,4-12,2 кг/кв.м). Евро, 0,1</t>
  </si>
  <si>
    <t>перец Мираж (сладк; ранний, ОГ,ПУ, 30-40 см, конусовид, красные, 140-160 г, толстостен, ур. 5,4 кг/кв.м). Евро, 0,2</t>
  </si>
  <si>
    <t>перец Молния белая (Сладк со слабоостр перегород; ОГ,ПУ, 1-1,2 м, удлин-конусовид, кремов, 100-120 г, толстостен, до 20 плодов на растении). Евро, 0,05</t>
  </si>
  <si>
    <t>перец Молния золотая F1 (Сладк со слабоостр перегород; ОГ,ПУ, 1-1,2 м, удлинен-конусовидн, ярко-желтые, 100-120 г, толстостен, ур. формируется до 20 плодов). Евро, 0,05</t>
  </si>
  <si>
    <t>перец Молния красная F1 (Сладк со слабоостр перегород; ср-ранн, ОГ,ПУ, 1,5 м, удлин-конусовид, красн, 80-130 г, одновр. созрев. до 30 плодов). Евро, 0,05</t>
  </si>
  <si>
    <t>перец Молния чёрная F1 (Сладк со слабоостр перегород; ОГ,ПУ, 60-70 см, удлинен-конусовид, черного цвета, 80-120 г). Евро, 0,05</t>
  </si>
  <si>
    <t>I0000015834</t>
  </si>
  <si>
    <t>перец Нага Морич белый Super Hot (супер супер-острый; тепл, 70 см, конусовид, слоновая кость, до 10 г, тонкостен.) . Евро, 5</t>
  </si>
  <si>
    <t>I0000014259</t>
  </si>
  <si>
    <t>перец Нага Морич красный Super Hot(супер супер-острый; ПУ,тепл, 60-70 см, конусовид, ярко-красные, тонкостен.). Евро, 5</t>
  </si>
  <si>
    <t>перец Нежность (сладк; ранний, ПУ, 1 м и более, конусовид, красные, 100-150 г, толстостен, ур. 7-10 кг/кв.м). Евро, 0,2</t>
  </si>
  <si>
    <t>перец Нежность (сладк; ранний, ПУ, 1 м и более, конусовид, красные, 100-150 г, толстостен, ур. 7-10 кг/кв.м). МФ, 0,2</t>
  </si>
  <si>
    <t>перец Новогогошары (ХИТ! сладк; ОГ,ПУ, 45-50 см, округло-плоск, красн, 90-140 г, толстостен). Евро, 0,2</t>
  </si>
  <si>
    <t>I0000014278</t>
  </si>
  <si>
    <t>перец Новогогошары Оранжевые (сл.) (ср.спел., сладк; ОГ,ПУ, 40-50 см, округло-плоск, желт-оранж., 80-120 г, толстостен). Евро, 0,1</t>
  </si>
  <si>
    <t>I0000014399</t>
  </si>
  <si>
    <t>перец Огненное дыхание (остр; ОГ,ПУ, 60-70 см, конусовид, темно-красные, 30-40 г). Евро, 0,1</t>
  </si>
  <si>
    <t>перец Огонёк (ХИТ! смесь остр.сортов; ОГ,ПУ, 25-50 см, плоды разл. формы и расцветки, 5-12 г, острый и полуострый). Евро, 0,05</t>
  </si>
  <si>
    <t>перец Огонь-стручки F1 (ХИТ! остр; ОГ,ПУ, 40-50 см, удлин-конусовид, красные, 15-20 г, ур. 2,3-2,6 кг/кв.м). Евро, 0,1</t>
  </si>
  <si>
    <t>I0000014391</t>
  </si>
  <si>
    <t>перец Оконное очарование (кустарн; ОГ,ПУ,комн.усл, 30-35 см, удлин-конич, ярко-красные, вкус острый). Евро, 0,1</t>
  </si>
  <si>
    <t>перец Олимп F1 (сладк; ОГ,ПУ, 60-70 см, призмовид, темно-красные, 200-300 г, толстостен, ур. 6,8 кг/кв.м). Евро, 0,1</t>
  </si>
  <si>
    <t>перец Ольга F1 (ХИТ! сладк; ранний, ОГ,ПУ, 50-60 см, плоскоокруг, темно-красные, 80-90 г, толстостен, ур. 5 кг/кв.м). Евро, 0,1</t>
  </si>
  <si>
    <t>перец Ольга F1 (ХИТ! сладк; ранний, ОГ,ПУ, 50-60 см, плоскоокруг, темно-красные, 80-90 г, толстостен, ур. 5 кг/кв.м). МФ, 0,1</t>
  </si>
  <si>
    <t>перец Оранжевое чудо F1 (кустарн; ранний, ОГ,ПУ, комн.усл, 30-35 см, конусовид, ярко-оранж, 4,5-5 г, острого вкуса, обильное плодонош.). Евро, 0,1</t>
  </si>
  <si>
    <t>I0000014397</t>
  </si>
  <si>
    <t>перец Остряк (кустарн; ОГ,ПУ,комн.усл, до 60 см, конич, ярко-красные, 2 г, острый, высокая урожайность). Евро, 0,1</t>
  </si>
  <si>
    <t>перец Павлина (сладк; ранний, ОГ,ПУ, 60-70 см, конусовид, темно-красные, 100-130 г, толстостен, ур. 5,7 кг/кв.м). Евро, 0,3</t>
  </si>
  <si>
    <t>перец Парниковый ультраскороспелый (ХИТ! сладк; ранний, ОГ,ПУ, 60-70 см, конич, красные, 80-120 г, толстостенные). Евро, 0,1</t>
  </si>
  <si>
    <t>I0000000055</t>
  </si>
  <si>
    <t>перец Парничок (сладк; ранний, ОГ,ПУ, 40-50 см, разнообр. по цвету и форме, 80-100 г, толстостен, ур. 4,5-5 кг/кв.м). Евро, 0,2</t>
  </si>
  <si>
    <t>перец Пафос F1 (сладк; ОГ,ПУ, 60 см, призмовидн, красные, 130-150 г, толстостен, ур. 6 кг/кв.м). Евро, 0,1</t>
  </si>
  <si>
    <t>перец Петрович F1 (остр; ранний, ОГ,ПУ, до 1м, удлин-конусовид, красные, 60-80г, обильное плодоношение). Евро, 0,1</t>
  </si>
  <si>
    <t>перец Пигмалион F1 (сладк; ср-ранн, ОГ,ПУ, 75-80 см, призмовид, ярко-оранж, 120-130 г, толстостен, ур. 7 кг/кв.м). Евро, 0,1</t>
  </si>
  <si>
    <t>перец Пламя (смесь остр.сортов; ср-ранн, ОГ,ПУ, комн.усл, разнообр. окраски и формы, 5-80г, слабоостр, остр. и пикант. вкуса). Евро, 0,2</t>
  </si>
  <si>
    <t>перец Подарок Молдовы (сладк; ОГ, ПУ, 35-45 см, конусовид, темно-красн, 50-70 г, толстостен, ур. 4-5,2 кг/кв.м). Евро, 0,2</t>
  </si>
  <si>
    <t>I0000012999</t>
  </si>
  <si>
    <t>перец Полёт (сладк; ср-ранн, ОГ,ПУ, 40-50 см, ширококонусов, темно-красные, 160-180 г, толстостен, ур. 6,5-7,5 кг/кв.м). Евро, 0,1</t>
  </si>
  <si>
    <t>перец Пончик F1 (сладк; ранний, ОГ,ПУ, 60-80 см, округло-плоск, темно-красные, 200-250 г, толстостен, ур. 5 кг/кв.м). Евро, 0,1</t>
  </si>
  <si>
    <t>I0000014400</t>
  </si>
  <si>
    <t>Перцы супер острые</t>
  </si>
  <si>
    <t>перец Пули Капоне F1 (остр; ОГ,ПУ, до 70 см, конусовид, вишн-красные, остр. обжигающий вкус, обильное плодонош). Евро, 6</t>
  </si>
  <si>
    <t>перец Пышка (сладк; ОГ,ПУ, 30-35 см, кубовидные, густо-красные, 150-180 г,  толстостен, ур. 3-4 кг/кв.м). Евро, 0,1</t>
  </si>
  <si>
    <t>перец Пятицвет F1 (кустарн; ранний, ОГ,ПУ,комн.усл, 15-25 см, конич, красные, вкус острый, на растении до 30 пл.). Евро, 0,15</t>
  </si>
  <si>
    <t>перец Ромео® F1 (ХИТ! сладк; ранний, ОГ,ПУ, 60-65 см, призмовид, ярко-желто-оранж, 80-130 г, толстостен, ур. обильное плодоношение). Евро, 0,1</t>
  </si>
  <si>
    <t>перец Самородок F1 (ХИТ! сладк; ОГ,ПУ, до 60 см, кубовид, темно-красн, 200-450 г, толстостен, до 10-15 крупных плодов на кусте). Евро, 0,2</t>
  </si>
  <si>
    <t>перец Самородок F1 (ХИТ! сладк; ОГ,ПУ, до 60 см, кубовид, темно-красн, 200-450 г, толстостен, до 10-15 крупных плодов на кусте). МФ, 0,2</t>
  </si>
  <si>
    <t>перец Самородок Востока F1 (сладк; ранний, ОГ, тепл, 70-80 см, кубовид, темно-красн, 150-180 г, толстостен, ур. 6,5-7кг/кв.м). Евро, 0,1</t>
  </si>
  <si>
    <t>перец Самородок золотой F1 (сладк; ОГ,ПУ, 60-70 см, кубовидн, ярко-желтые, 200-260 г, толстостен, обильное плодонош). Евро, 0,1</t>
  </si>
  <si>
    <t>перец Скороспелка (сладк; ранний, ОГ,ПУ, 50-60 см, конические, красные, 60-70 г, толстостен, ур. 6-7.5 кг/кв.м). Евро, 0,1</t>
  </si>
  <si>
    <t>перец Сливки жёлтые (кустарн; скороспел, ОГ, ПУ,комн.усл, 0,8-1м, округ-плоск, ярко-желтые, 15-20 г, сладкий с небольшой остротой). Евро, 0,05</t>
  </si>
  <si>
    <t>перец Сливки красные (кустарн; скороспел, ОГ,ПУ,комн.усл, 0,8-1м, округло-плоск, ярко-красн,15-20 г, сладкий с небольшой остротой). Евро, 0,05</t>
  </si>
  <si>
    <t>перец Спрут Новогодний F1 (ХИТ! остр; перец-дерево, выс. более 2 м, плоды-колокольчики, насыщ-красные, 300-500 штук одновременно). Евро, 0,05</t>
  </si>
  <si>
    <t>перец Сувенир (кустарн; ОГ,ПУ, комн.усл, 30-40 см, узко-конусовид, красн, 10-15 г, на растении до 60пл.). Евро, 0,2</t>
  </si>
  <si>
    <t>перец Тёща любезная (сладк; ОГ,ПУ, 50 см, усеченно-конич, красные, 120-150 г, сладкие, сочные, стабильная ур.). Евро, 0,1</t>
  </si>
  <si>
    <t>перец Титан (ХИТ! сладк; ОГ,ПУ, 65-70 см, усеч-конич, темно-красные, 180-200 г, толстостен). Евро, 0,1</t>
  </si>
  <si>
    <t>перец Толстяк F1 (ХИТ! сладк; ОГ,ПУ, зимн.тепл, 60-70 см, кубовидн, вишнев, 200-300 (до 400) г, . Евро, 0,1</t>
  </si>
  <si>
    <t>перец Толстяк СеДеК F1 (сладк; ОГ, тепл, 60-70см, кубовид, темно-красн, 200-300 (до 400) г, толстостен). Евро, 0,1</t>
  </si>
  <si>
    <t>I0000014016</t>
  </si>
  <si>
    <t>перец Топик F1 (остр; ОГ,ПУ, 60-70 см, округл, ярко-красные, 20-25 г, слабо-острого вкуса). Евро, 6</t>
  </si>
  <si>
    <t>перец Тополин (сладк; ранний, ОГ,ПУ, 55-65 см, конусовид, красные, 100-120 г, толстостен, до 12-15 пл. на кусте). Евро, 0,3</t>
  </si>
  <si>
    <t>I0000015873</t>
  </si>
  <si>
    <t>перец Тринидад Моруга Скорпион желтый Super Hot(супер супер-остр; тепл, ПУ, 90-100 см, округлылимонно-жёлт, тонкостен) . Евро, 5</t>
  </si>
  <si>
    <t>I0000014804</t>
  </si>
  <si>
    <t>перец Тринидад Моруга Скорпион красный Super Hot ( (супер супер-остр; тепл, ПУ, 60-80 см, округлый, красный, тонкостен) . Евро, 5</t>
  </si>
  <si>
    <t>I0000015567</t>
  </si>
  <si>
    <t>перец Тринидад Моруга Скорпион оранжевый Super Hot(супер супер-острый; тепл, ПУ, 90-120 см, округлые, ярко-оранжевые, 16-18г, тонкостен.) . Евро, 5</t>
  </si>
  <si>
    <t>I0000014803</t>
  </si>
  <si>
    <t>перец Тринидад Моруга Скорпион шоколадный Super Hot (супер супер-острый, тепл, ПУ, 90-120 см, округлый, тёмно-коричневый, тонкостен.) . Евро, 5</t>
  </si>
  <si>
    <t>перец Удача (сладк; скороспел, ОГ,ПУ, 50-60 см, узко-конич, красн, 100-135 г, толстостен, ран. и обильн.плодонош.). Евро, 0,1</t>
  </si>
  <si>
    <t>I0000000056</t>
  </si>
  <si>
    <t>перец Ультраранний букетный (сладк; ранний, ОГ,ПУ, 50 см, конич, красн, 60-70 г, толстостен, ур. 5,5-6 кг/кв.м). Евро, 0,1</t>
  </si>
  <si>
    <t>I0000002283</t>
  </si>
  <si>
    <t>перец Фельдмаршал Суворов F1 (ХИТ! сладк; тепл, ПУ, 70-80 см, мощные, кубовид-призмовид, ярко-желтые, 350-400 г, толстостен, ур. 8-9 кг/кв.м). Евро, 0,1</t>
  </si>
  <si>
    <t>перец Феникс (кустарн; ОГ,ПУ,комн.усл, 30-35 см, конусовид, ярко-крас, 8-10 г, острого вкуса, обильное плодоношение). Евро, 0,15</t>
  </si>
  <si>
    <t>I0000014258</t>
  </si>
  <si>
    <t>перец Хабанеро жёлтый (остр; тепл, ПУ, 80-90 см, форма фонарика, ярко-желт, 30-50 г, один из самых жгучих! Более 900 плодов с куста - возможно!). Евро, 6</t>
  </si>
  <si>
    <t>I0000014255</t>
  </si>
  <si>
    <t>перец Хабанеро красный (остр; тепл, ПУ, 80-90 см, форма фонарика, ярко-красн, 30-50 г, острый, более 900 пл с куста - возможно!). Евро, 6</t>
  </si>
  <si>
    <t>I0000014257</t>
  </si>
  <si>
    <t>перец Хабанеро оранжевый (остр; тепл, ПУ, 80-90 см, форма фонарика, оранж, 30-50 г, один из самых жгучих! Более 900 плодов с куста - возможно!). Евро, 6</t>
  </si>
  <si>
    <t>I0000014256</t>
  </si>
  <si>
    <t>перец Хабанеро шоколадный (остр; тепл, ПУ, 80-90 см, форма фонарика, шоколадн, 30-50 г, сильно острый, обильное плодоношение). Евро, 6</t>
  </si>
  <si>
    <t>I0000015152</t>
  </si>
  <si>
    <t>перец Халапеньо (остр.; тепл, ОГ, 80-100 см, конический, красный,  40-60 г, толстостен) . Евро, 0,1</t>
  </si>
  <si>
    <t>I0000014254</t>
  </si>
  <si>
    <t>перец Харуба F1 (остр; ранний, тепл, ПУ, 80 см, удлинен-призмовидн, красн, 70-80 г, среднеостр, обильное плодонош). Евро, 6</t>
  </si>
  <si>
    <t>перец Царица F1 (ХИТ! сладк; ранний, ОГ, ПУ, 65-75 см, кубовид, темно-красн,150-200 г, толстостен, ур. 7-8 кг/кв.м). Евро, 0,1</t>
  </si>
  <si>
    <t>I0000001953</t>
  </si>
  <si>
    <t>перец Чародей F1 (сладк; ОГ,ПУ, 70-80 см, призмовид, ярко-оранж, 130-180 г, толстостен, ур. 7-7,5 кг/кв.м). Евро, 0,1</t>
  </si>
  <si>
    <t>перец Чёрный сахар F1 (сладк; ранний, ОГ,ПУ, 80 см, конусовид, темно-вишнев, 50-90 г, толстостен, ур. 7 кг/кв.м). Евро, 0,2</t>
  </si>
  <si>
    <t>I0000015855</t>
  </si>
  <si>
    <t>перец Черрико Вико F1красный (сл)(ср.спел.,ОГ/ЗГ, конусов.,красн.,слад.,сочн., 25-30г., в св.виде, заморозки, фарширов., приг.паприки). Евро, 0,05</t>
  </si>
  <si>
    <t>I0000015854</t>
  </si>
  <si>
    <t>перец Черрико Нико F1оранжевый (сл)(ср.спел.,ОГ/ЗГ, удл/конусов.,ярк/оранж., 25-30г., в св.виде, заморозки, фарширов., приг.паприки). Евро, 0,05</t>
  </si>
  <si>
    <t>I0000015853</t>
  </si>
  <si>
    <t>перец Черрико Рико F1 ярко-желтый (сл)(ср.спел.,ОГ/ЗГ, мелк/сердцевидн.,желт/оранж.,вкус перечн., до 20г., в св.виде, заморозки, фарширов., приг.паприки). Евро, 0,05</t>
  </si>
  <si>
    <t>I0000014398</t>
  </si>
  <si>
    <t>перец Шары (кустарн; ОГ,ПУ,комн.усл, до 60 см, округл, ярко-красн, 15 г, острый, ур. высокая). Евро, 0,1</t>
  </si>
  <si>
    <t>перец Шатл F1 (сладк; ранний, ОГ,ПУ, 70-75 см, конусовид, красн, 160-200 г, толстостен, обильное плодонош). Евро, 0,2</t>
  </si>
  <si>
    <t>I0000014392</t>
  </si>
  <si>
    <t>перец Шедевр (кустарн; ОГ,ПУ,комн.усл, 25-30 см, удлиненно-конич, ярко-красн, до 5 г, вкус острый, длительное плодонош). Евро, 0,1</t>
  </si>
  <si>
    <t>перец Эверест (сладк; ОГ,ПУ, 45-50 см, красн, 150-200 г, толстостен, ур. 7-8 кг/кв.м). Евро, 0,1</t>
  </si>
  <si>
    <t>перец Эльф (кустарн; ранний, ОГ,ПУ,комн.усл, 35-40 см, конич, красные, 3-4 г, вкус острый, обильное плодонош). Евро, 0,2</t>
  </si>
  <si>
    <t>перец Этюд (сладк; ОГ,ПУ, 60-70 см, призмовид, темно-оранж, 130-190 г, толстостен). Евро, 0,2</t>
  </si>
  <si>
    <t>перец Этюд (сладк; ОГ,ПУ, 60-70 см, призмовид, темно-оранж, 130-190 г, толстостен). МФ, 0,2</t>
  </si>
  <si>
    <t>перец Яблочко (сладк; ОГ,ПУ, 40-45 см, плоскоокруг, красн, 150-180 г, толстостен, обильное плодонош). Евро, 0,1</t>
  </si>
  <si>
    <t>перец Язык дракона (остр; ранний, ОГ,ПУ, 60-70 см, удлин-конусовид, насыщ-красн, 13-15 г, острого вкуса, ур. высокая). Евро, 0,1</t>
  </si>
  <si>
    <t>перец Язычок тёщи (сладк; ОГ,ПУ, 65-70 см, удлин-конич, ярко-красные, 40-50 г, ур. 1,5-2 кг/кв.м, до 20-30 пл.одновременно). Евро, 0,2</t>
  </si>
  <si>
    <t>ПЕТРУШКА</t>
  </si>
  <si>
    <t>I0000002426</t>
  </si>
  <si>
    <t>петрушка Ажур (листовая)(ран.спел.,крупн.,ярк.-зелен.,сильн.аромат). Евро, 2</t>
  </si>
  <si>
    <t>петрушка Берлинская (корневая)(поздн.спел.,конич.,крем.-бел./бел.,20-30 см,110 г.). Евро, 2</t>
  </si>
  <si>
    <t>петрушка Берлинская (корневая)(поздн.спел.,конич.,крем.-бел./бел.,20-30 см,110 г.). МФ, 2</t>
  </si>
  <si>
    <t>петрушка Богатырь (листовая)(поздн.спел.,крупн.,т.-зелен.,сильн.аромат). Евро, 2</t>
  </si>
  <si>
    <t>I0000013887</t>
  </si>
  <si>
    <t>петрушка Кружевница (листовая)  (ср.спел.,гафриров.,т.-зелен.,прян.сильн.аромат). Евро, 2</t>
  </si>
  <si>
    <t>петрушка Кудрявая (листовая)(ср.спел.,гафриров.,т.-зелен.,прян.аромат). Евро, 2</t>
  </si>
  <si>
    <t>петрушка кудрявая Славянская( листовая)(ср.спел.,гафриров.,т.-зелен.,хор.вкус и аромат). Евро, 2</t>
  </si>
  <si>
    <t>петрушка Лекарь ( корневая)(ср.спел.,конич.,бел./бел., 60-90 г.). Евро, 2</t>
  </si>
  <si>
    <t>петрушка Наталка (листовая)(ран.спел.,крупн.,ярк.-зелен.,сильн. аромат). Евро, 2</t>
  </si>
  <si>
    <t>петрушка Наталка (листовая)(ран.спел.,крупн.,ярк.-зелен.,сильн. аромат). МФ, 2</t>
  </si>
  <si>
    <t>петрушка Нежное кружево (листовая)(ср.спел.,гафриров.кудр.,т.-зелен.,сильн. аромат). Евро, 2</t>
  </si>
  <si>
    <t>петрушка Нежный аромат (листовая)(ср.спел.,крупн.,т.-зелен.,приятн.вкус и сильн. аромат). Евро, 2</t>
  </si>
  <si>
    <t>петрушка Обыкновенная листовая(ср.спел.,рассечен.,т.-зелен.,сильн. аромат). Евро, 2</t>
  </si>
  <si>
    <t>петрушка Обыкновенная листовая(ср.спел.,рассечен.,т.-зелен.,сильн. аромат). МФ, 2</t>
  </si>
  <si>
    <t>петрушка Омега (корневая)(ср.ран.,конич.,крем.-бел./бел.,15-25 см,110-150 г.). Евро, 2</t>
  </si>
  <si>
    <t>петрушка Плайн (листовая)(ср.спел.,крупн.,т.-зелен.,сильн. аромат). Евро, 2</t>
  </si>
  <si>
    <t>петрушка Плайн (листовая)(ср.спел.,крупн.,т.-зелен.,сильн. аромат). МФ, 2</t>
  </si>
  <si>
    <t>петрушка Пучковая( листовая)(ср.спел.,крупн.,т.-зелен.,хор.вкус и аромат). Евро, 2</t>
  </si>
  <si>
    <t>петрушка Сахарная (корневая )(скороспел.,конич.,сер.-бел./бел.,20-30 см, 60-70 г.). Евро, 2</t>
  </si>
  <si>
    <t>петрушка Сахарный корешок (корневая)(поздн.спел.,конич.,бел./бел., 20-30  см, до 110 г.). Евро, 2</t>
  </si>
  <si>
    <t>петрушка Сахарный корешок (корневая)(поздн.спел.,конич.,бел./бел., 20-30  см, до 110 г.). МФ, 2</t>
  </si>
  <si>
    <t>петрушка Сладкий корешок (корневая)(поздн.спел.,конич.,бел./бел., до 20 см,180-250 г.). Евро, 2</t>
  </si>
  <si>
    <t>петрушка Титан (листовая)(ср.спел.,мелкоизр.крупн.,т.-зелен.,хор.вкус и аромат). МФ, 2</t>
  </si>
  <si>
    <t>петрушка Триплекс (листовая кудрявая)(ср.спел.,сильн.гафриров.,т.-зелен.,сильн. аромат). Евро, 2</t>
  </si>
  <si>
    <t>ПОДСОЛНЕЧНИК</t>
  </si>
  <si>
    <t>подсолнечник Лакомка (ран.спел.,бол.плоск., крупн.овал.-удлин.,черн.,1,5-1,7 м.. Евро, 5</t>
  </si>
  <si>
    <t>подсолнечник Орешек (ран.спел.,ср.плоск., крупн.шир.-овал.,черн.,1,6-1,7 м.. Евро, 5</t>
  </si>
  <si>
    <t>ПРЯНОСТИ</t>
  </si>
  <si>
    <t>пряность Амарант овощной Крепыш (скороспел.,зелен./красн.-коричн.,1,2-1,4 м. лечебн.ср-во). Евро, 0,5</t>
  </si>
  <si>
    <t>пряность Анис Волшебный Эликсир(однолетн., зелен./бел.,30-60 см.,прян.,лекарств.раст.). Евро, 0,5</t>
  </si>
  <si>
    <t>I0000015578</t>
  </si>
  <si>
    <t>пряность Бораго Жемчужина (/огуречная трава/, белый. Евро, 0,5</t>
  </si>
  <si>
    <t>пряность Бораго Утро (огуречная трава, сиреневый). Евро, 0,5</t>
  </si>
  <si>
    <t>пряность Горчица Бутербродная (лист)(скоросп.,однолетн., красн.-фиолет.,употр.в св.виде). Евро, 1</t>
  </si>
  <si>
    <t>пряность Горчица Волнушка (лист)(скоросп.,однолетн., овал.,курчяв.,употр.в св.виде). Евро, 1</t>
  </si>
  <si>
    <t>пряность Горчица Закусочная (лист)(скоросп.,однолетн., овал.,зелен.,употр.в св.виде). Евро, 1</t>
  </si>
  <si>
    <t>I0000002842</t>
  </si>
  <si>
    <t>пряность Горчица Красавица Застолья сарепская(ср.спел.,т.зелен.,горчичн.вкус.употр.в св.виде). Евро, 1</t>
  </si>
  <si>
    <t>пряность Горчица Мустанг листовая сарепская(ср.спел.,крупн.,красн.-зелен.,горч.вкус , употр.в св.виде,для засолки). Евро, 1</t>
  </si>
  <si>
    <t>пряность Горчица Салатная(скоросп.,однолетн., овал.,зелен.,употр.в св.виде). Евро, 1</t>
  </si>
  <si>
    <t>пряность Донник желтый Утренняя заря(двулетн., цв.мелк.,желт.,душист.лечебн.св-ва). Евро, 3</t>
  </si>
  <si>
    <t>пряность Змееголовник лимонный Молдавский(однолетн.,лекарств. и декорат.,зелен.,мятн.-лимон.аромат/прян.вкус употр.в св и суш..виде). Евро, 0,5</t>
  </si>
  <si>
    <t>пряность Иссоп Лекарь(многолетн.,прян.,медоносн., т.зелен./сине-фиолет.,целебн.св-ва,употр.в св.и суш.виде). Евро, 0,2</t>
  </si>
  <si>
    <t>пряность Иссоп Формула 0,2 г(многолетн.,прян.,медоносн., целебн.св-ва). Евро, 0,2</t>
  </si>
  <si>
    <t>пряность Капуста Пижон (японская)(ультр.скороспел.,ОГ/ЗГ, 350-450 г.,употр. в св.,суш.,маринов. виде). Евро, 0,5</t>
  </si>
  <si>
    <t>пряность Кервель Ароматный (ср.спел.,травян.св.-зелен./цв.бел., прян.анисов.запах и вкус, 40-60 см.). Евро, 0,5</t>
  </si>
  <si>
    <t>пряность Кервель Закусочный листовой (однолетн.,прян.,зелен.анисов.запах, 30-60 см.). Евро, 0,5</t>
  </si>
  <si>
    <t>пряность Кервель Курчавый (ср.поздн.,травян.,зелен., анисов.аром., 30-40 см.). Евро, 0,5</t>
  </si>
  <si>
    <t>пряность Кервель Рассвет (однолетн.,прян.,зелен.,приятн.анисов.запах , 30-40 см.). Евро, 0,5</t>
  </si>
  <si>
    <t>пряность Клевер Кружево (многолетн.,трав.раст.,зелен./цв.роз.-красн.,лекарств.св-ва, 20-50 см). Евро, 1</t>
  </si>
  <si>
    <t>пряность Козлятник лекарственный Сияние(многолетн.,трав.раст.,серо-фиолет., лечебн./декорат., 15-25 см). Евро, 3</t>
  </si>
  <si>
    <t>пряность Котовник Сонник (многолетн.,раст.,зелен./цв.бел., лекарств.св-ва, 100 см). Евро, 0,1</t>
  </si>
  <si>
    <t>пряность Кумин Восточная сказка(прян.раст.,зелен./цв.бел.-роз.,в св.виде, 20-50 см). Евро, 0,3</t>
  </si>
  <si>
    <t>пряность Лаванда Юдифь 0,05 г(многолетн.,прян.,медонос.,декорат., сер.-зелен./цв.фиол.-голуб., лекарств.св-ва, 50-60 см). Евро, 0,05</t>
  </si>
  <si>
    <t>I0000013243</t>
  </si>
  <si>
    <t>пряность Лебеда Красное перо (шпинатная)  (однолетн.,овощн.,лекарств.,медоносн.,декоративн.,лист.красн./цв.пурпурн.,600-150 см.). Евро, 0,2</t>
  </si>
  <si>
    <t>пряность Лофант анисовый Знахарь 0,1 г(однолетн.,прян.-аромат.раст.,зелен./цв.син.-фиолет,лекарств.св-ва, 50-70 см). Евро, 0,1</t>
  </si>
  <si>
    <t>пряность Лофант Снежок(ср.спел.,однолетн.,прян.-аромат.,медоносн.раст.,зелен./цв.бел.,анис аром.,прян.,сладк.вкус, 60-70 см). Евро, 0,1</t>
  </si>
  <si>
    <t>пряность Любисток Одиссей(многолетн.,прян.раст.,т.зелен.,лекарств/диетич..св-ва, 200 см). Евро, 0,1</t>
  </si>
  <si>
    <t>пряность Люцерна синяя Симпатия(многолетн.тр.раст.,зелен./син.-фиолет.,корм.,декорат.,лекарств.,100 см.). Евро, 2</t>
  </si>
  <si>
    <t>пряность Майоран Кустовой(однолетн.,сер.-зелен./бел.-роз.,медонос,лекарств.,30-50 см.). Евро, 0,1</t>
  </si>
  <si>
    <t>пряность Майоран Лакомка (садовый)(многолетн.,зелен./бел.,медонос,лекарств.,40-60 см.). Евро, 0,1</t>
  </si>
  <si>
    <t>I0000015593</t>
  </si>
  <si>
    <t>пряность Майоран Мардакуш (садовый) (трав/однолетн.раст,25-30 см, лист мелк.,зелен, вкус и аром. пряный,цветки бл/роз.,использ.как приправа). Евро, 0,1</t>
  </si>
  <si>
    <t>пряность Майоран Садовый(однолетн.,сер.-зелен./бел.-роз.,прян.-вкусов.,лекарств.,40-60 см.). Евро, 0,1</t>
  </si>
  <si>
    <t>пряность Майоран Термос(однолетн.,зелен./бел.,прян.-вкусов.,лекарств.,35-40 см.). Евро, 0,05</t>
  </si>
  <si>
    <t>пряность Мелисса Лимонная Нектар 0,05 г(многолетн.,зелен./бел.-роз.,прян.-эфирн.,медоносн.,лекарств.,60-80 см.). Евро, 0,05</t>
  </si>
  <si>
    <t>пряность Мелисса Лимонный Аромат(многолетн,т.-зелен./сирен.-бел.,мятн.-лимон.аромат, до 60 см.). Евро, 0,05</t>
  </si>
  <si>
    <t>пряность Мелисса Цитронелла 0,05 г(многолетн.,зелен./бел.-гол.,лимон.аромат.,лекарств., до 100 см.). Евро, 0,05</t>
  </si>
  <si>
    <t>пряность Мята болотная Соня(многолетн.,зелен./роз.-лилов.,прян.-эфирн., мятн.аромат,лекарств.,50-60 см.). Евро, 0,05</t>
  </si>
  <si>
    <t>пряность Мята Легкое дыхание 0,05 г(ср.спел.,многолетн.,зелен.,лекарств.,70-90 см.). Евро, 0,05</t>
  </si>
  <si>
    <t>I0000003181</t>
  </si>
  <si>
    <t>пряность Мята Ментол(ср.спел.,многолетн.,зелен./сирен.,прян.-эфирн.,лекарств.,60-70 см.). Евро, 0,05</t>
  </si>
  <si>
    <t>пряность Мята Перечная 0,05 г(многолетн.,зелен.,прян.-эфирн.,лекарств.). Евро, 0,05</t>
  </si>
  <si>
    <t>пряность Мята Церемония колосистая 0,05 г(многолетн.,зелен.,прян.-эфирн.,лекарств.). Евро, 0,05</t>
  </si>
  <si>
    <t>пряность Пажитник греческий Шамбала (однолетн.,зелен./желт.-бел..,лекарств.,40-60 см.). Евро, 1</t>
  </si>
  <si>
    <t>I0000002623</t>
  </si>
  <si>
    <t>пряность Пастернак Лучший из всех( ср.ран., бел.,конич.с остр.конч., 15-20 см.,100-190 г.). Евро, 1</t>
  </si>
  <si>
    <t>пряность Пастернак Студент( ср.ран., бел.,конич.с остр.конч., 15-20 см.,100-130 г.). Евро, 1</t>
  </si>
  <si>
    <t>пряность Портулак огородный Восточная Закуска(однолетн.,лист.яйцев.-овал./цв.желт.,целебн. до 60см.). Евро, 0,1</t>
  </si>
  <si>
    <t>пряность Ревень черешковый Виктория(ран.спел.,многолетн.,корнев.мясист.,лист.крупн.зелен.). Евро, 0,1</t>
  </si>
  <si>
    <t>пряность Ревень черешковый Компотный 0,1 г(ран.спел.,многолетн.,корнев.толст.,лист.крупн.зелен.,целебн.). Евро, 0,1</t>
  </si>
  <si>
    <t>пряность Репа Токио листовая (скороспел.,крупн.,окр.-овал.,т.-зелен.). Евро, 0,5</t>
  </si>
  <si>
    <t>пряность Розмарин Нежность(ср.спел.,многолетн.,узк.лист.зелен.с гол.цв. камф.аром.,остр.прян.вкус,50-60 см). Евро, 0,05</t>
  </si>
  <si>
    <t>пряность Розмарин Ричард(ср.спел.,многолетн.,узк.лист.зелен.с гол.-фиол.цв. сладк.-прян.аром.,сил.выраж.вкус,50-70 см). Евро, 0,05</t>
  </si>
  <si>
    <t>пряность Рута овощная Кружевница(многолетн.,перист-рассеч.лист.зелен.с желт.цв.,фитонц.противоспал.ранозаживл.антибактер.св.,50-55 см). Евро, 0,1</t>
  </si>
  <si>
    <t>пряность Скорцонера Лечебный(ср.спел.,двулетн.,черн.корнеплод.,мяк.бел., сладк.вяжущ.вкус,30-35 см). Евро, 0,5</t>
  </si>
  <si>
    <t>пряность Тимьян овощной Змейка (Чабрец, Богородская трава) (многолетн.,зелен./цв.ярк.фиол.-роз.,аром.запах, вкус остр.,30-50 см). Евро, 0,05</t>
  </si>
  <si>
    <t>пряность Тимьян Пикантный(трав.куст.,зелен./цв.фиол.-роз.,медов.запах,15-20 см). Евро, 0,05</t>
  </si>
  <si>
    <t>пряность Тимьян Тарзан(низ.-росл.куст.,т.зелен./цв.лил-роз.,терпк.аром.,горьк. вкус). Евро, 0,05</t>
  </si>
  <si>
    <t>пряность Тмин Хлебный(двулетн., прян.-аром., мяс.цилиндр.корень,целебн.св.). Евро, 0,3</t>
  </si>
  <si>
    <t>пряность Фацелия Голубая мечта(однолетн.,декор.,кормов.,медонос,т.зелен., до 90 см). Евро, 2</t>
  </si>
  <si>
    <t>пряность Чабер Аргонавт(однолетн., прян.,лекарств.,лист сер.-зелен.,цв.св.-лилов.,приятн.запах,вкус жгуч.перца, 20-30 см). Евро, 0,1</t>
  </si>
  <si>
    <t>пряность Чабер горный  многолетний Горец (многолетн., прян.,лекарств.,лист зелен.,цв.бел, жгуч.вкус, 40-50 см). Евро, 0,05</t>
  </si>
  <si>
    <t>пряность Чабер огородный Ароматный(ср.спел.,однолетн., прян.,лекарств.,лист т.-зелен.,цв.св.-фиол.,приятн.запах,вкус жгуч.перца, 40-50 см). Евро, 0,1</t>
  </si>
  <si>
    <t>I0000015629</t>
  </si>
  <si>
    <t>пряность Чабер огородный Корсиканец НОВИНКА. Евро, 0,1</t>
  </si>
  <si>
    <t>пряность Чабер Перечный аромат(ср.спел.,шаровидн.,лист т-зелен.,цв.сирен.,перечн.запах,вкус жгуч.перца, 30-40 см). Евро, 0,1</t>
  </si>
  <si>
    <t>пряность Шалфей Вкус грибов мускатный(многолетн.трав.раст.,эфирн.-масл.,лекарств.,лист зелен.,цв.роз.-фиол.,аром.мускуса,горьк.вкус , до 1,5 м). Евро, 0,1</t>
  </si>
  <si>
    <t>пряность Шалфей Дервиш(двулетн.трав.раст.,эфирн.-масл.,лекарств.,лист сер.-зелен.,сильн.аром., 30-50 см.). Евро, 0,1</t>
  </si>
  <si>
    <t>пряность Эспарцет Фантазия(многолетн.,листперист.т.-зелен.,цв.ярк.-роз.,декор.,медонос,корм., до 90см). Евро, 2</t>
  </si>
  <si>
    <t>пряность Эстрагон Ацтек(двулетн.,эфирн.-масл.,лекарств.,лист сер.-зелен.,цв.фиол.-син.,сильн.аром.,30-50 см). Евро, 0,1</t>
  </si>
  <si>
    <t>РЕДИС</t>
  </si>
  <si>
    <t>редис 18 Дней (суперран.скоросп., ОГ,удлин.,красн.с бел.конч./бел.,неостр., 20-25 см). Евро, 3</t>
  </si>
  <si>
    <t>редис Ажур (ран.спел., ОГ,укор.-цилиндр.,роз.-красн.с бел.конч./бел.,сл.остр., 25-30 г.). Евро, 2</t>
  </si>
  <si>
    <t>I0000013233</t>
  </si>
  <si>
    <t>редис Ажур Круглый  (ран.спел., ОГ/ЗГ,окр.,ярк.-красн./бел.,сл.остр., 25-35 г.). Евро, 2</t>
  </si>
  <si>
    <t>редис Аленка® (ХИТ! ран.спел., ОГ,окр.,красн./бел.,сл.остр., 25-35 г.). Евро, 2</t>
  </si>
  <si>
    <t>редис Анжелика (ран.спел., ОГ/ЗГ,удл.-цилиндр.,ярк.-красн.с бел.конч./бел.,сл.остр., 18-21 г.). Евро, 2</t>
  </si>
  <si>
    <t>редис Анжелика (ран.спел., ОГ/ЗГ,удл.-цилиндр.,ярк.-красн.с бел.конч./бел.,сл.остр., 18-21 г.). МФ, 3</t>
  </si>
  <si>
    <t>редис Ассорти ранних сортов (ОГ/ЗГ,разл.форм и окрас.целебн. и леч. св.). Евро, 3</t>
  </si>
  <si>
    <t>редис Барон (ран.спел., ОГ/ЗГ,окр., бел./бел.,сл.остр., 30-40 г.). Евро, 2</t>
  </si>
  <si>
    <t>редис Внучкина радость® (ХИТ! скоро.спел., ОГ,удл.-цилиндр.,роз.-красн.с бел.конч./бел.,сл.остр., 15-25 г.). Евро, 2</t>
  </si>
  <si>
    <t>редис Дамские Пальчики (ск.спел., ОГ,цилиндр.,красн.с бел.конч./бел.,сл.остр., 20-25 г.). Евро, 2</t>
  </si>
  <si>
    <t>редис Дамский Каприз (ран.спел., ОГ,окр.,мал.-красн.с бел.конч./бел.,неж.пикантн., 25-30 г.). Евро, 2</t>
  </si>
  <si>
    <t>редис Жара (ран.спел., ОГ/ЗГ,окр.,малин.-красн./бел.-роз.,сл.остр., 15-27 г.). Евро, 3</t>
  </si>
  <si>
    <t>редис Жара (ран.спел., ОГ/ЗГ,окр.,малин.-красн./бел.-роз.,сл.остр., 15-27 г.). МФ, 3</t>
  </si>
  <si>
    <t>"</t>
  </si>
  <si>
    <t>редис Заря (ран.спел., ОГ/ЗГ,окр.,малин.-красн./бел.,остр., 10-23 г.). Евро, 3</t>
  </si>
  <si>
    <t>редис Заря (ран.спел., ОГ/ЗГ,окр.,малин.-красн./бел.,остр., 10-23 г.). МФ, 3</t>
  </si>
  <si>
    <t>редис Злата (ран.спел., ОГ,окр.,желт./бел.,сл.остр., 10-24 г.). Евро, 2</t>
  </si>
  <si>
    <t>редис Злата (ран.спел., ОГ,окр.,желт./бел.,сл.остр., 10-24 г.). МФ, 2</t>
  </si>
  <si>
    <t>Редис Кармен   ® (ран.спел., ОГ,окр.,красн./бел.,сл.остр., от 10-15 до 40-60 г.). Евро, 3</t>
  </si>
  <si>
    <t>редис Королева Рынка® (ХИТ! ск.спел., ОГ,окр.,нас.-красн./бел.-роз.,сл.остр., 25-35 г.). Евро, 2</t>
  </si>
  <si>
    <t>редис Королева Рынка® (ХИТ! ск.спел., ОГ,окр.,нас.-красн./бел.-роз.,сл.остр., 25-35 г.). МФ, 2</t>
  </si>
  <si>
    <t>редис Краса (ран.спел., ОГ/ЗГ,окр.,нас.красн./бел.,сл.остр., 17-20 г.). Евро, 2</t>
  </si>
  <si>
    <t>редис Красный Великан длинный (ср.спел., ОГ,удл.-цилиндр.,ярк.-красн./бел.,полуостр., 50-80 г.). Евро, 3</t>
  </si>
  <si>
    <t>редис Красный Великан длинный (ср.спел., ОГ,удл.-цилиндр.,ярк.-красн./бел.,полуостр., 50-80 г.). МФ, 2</t>
  </si>
  <si>
    <t>редис Красный Великан Круглый (ср.спел., ОГ,окр.,ярк.-красн./белосн.,полуостр., 45-55 г.). Евро, 3</t>
  </si>
  <si>
    <t>редис Красный с б/к(ср.спел., ОГ,окр.,красн.с бел.конч./бел.-роз..,сл.остр., 18-20 г.). Евро, 3</t>
  </si>
  <si>
    <t>редис Красный с б/к(ср.спел., ОГ,окр.,красн.с бел.конч./бел.-роз..,сл.остр., 18-20 г.). МФ, 3</t>
  </si>
  <si>
    <t>редис Мажор F1 (ран.спел., ОГ,окр.,роз.-красн.с бел.конч./бел.-роз.,сл.остр., 15-20 г.). Евро, 2</t>
  </si>
  <si>
    <t>редис Моховский(ран.спел., ОГ/ЗГ/ПУ,окр., бел./бел.-роз.,сл.остр., 20-30 г.). Евро, 3</t>
  </si>
  <si>
    <t>редис Мулатка(ср.спел., ОГ,окр.,фиол./бел.,сл.остр., 20-25 г.). Евро, 2</t>
  </si>
  <si>
    <t>редис Нота(ран.спел., ОГ/ЗГ,окр.,нас.-красн./бел.,сл.остр., 20-25 г.). Евро, 2</t>
  </si>
  <si>
    <t>I0000002352</t>
  </si>
  <si>
    <t>редис Политез(ран.спел., ОГ/ПУ/теплицы,окр.,красн.с бел.конч./бел.-роз.,сл.остр., 25-29 г.). Евро, 2</t>
  </si>
  <si>
    <t>редис Премьер®(ран.спел., ОГ,окр.,роз.с бел.конч./бел.-роз.,сл.остр., 18-22 г.). Евро, 2</t>
  </si>
  <si>
    <t>редис Премьер®(ран.спел., ОГ,окр.,роз.с бел.конч./бел.-роз.,сл.остр., 18-22 г.). МФ, 2</t>
  </si>
  <si>
    <t>редис Принц Датский(ср.ран., ОГ,удл.-цилиндр.,нас.-красн./бел.,сл.остр., 20-25 г.). Евро, 2</t>
  </si>
  <si>
    <t>редис Принц Датский(ср.ран., ОГ,удл.-цилиндр.,нас.-красн./бел.,сл.остр., 20-25 г.). МФ, 2</t>
  </si>
  <si>
    <t>редис Ранний Красный(оч.ран., ОГ,окр.,ярк.-красн./бел.-роз.,пикантн.сл.остр., 10-15 г.). Евро, 3</t>
  </si>
  <si>
    <t>редис Розово-красный с б/к(ср.ран., ОГ,окр.,роз.-красн.с бел.конч./бел.,сл.остр., 15-25 г.). Евро, 3</t>
  </si>
  <si>
    <t>редис Розовый с б/к(ср.ран., ОГ,окр.,роз.с бел.конч./бел.,сл.остр., 14-28 г.). Евро, 3</t>
  </si>
  <si>
    <t>редис Рубин(ран.спел., ОГ/ЗГ,окр.,красн./бел.-роз.,сл.остр., 15-30 г.). Евро, 3</t>
  </si>
  <si>
    <t>редис Рубин(ран.спел., ОГ/ЗГ,окр.,красн./бел.-роз.,сл.остр., 15-30 г.). МФ, 3</t>
  </si>
  <si>
    <t>редис Сакса РС(ран.спел., ОГ/ЗГ,окр.,ярк.-красн./бел.,сл.остр., 20-25 г.). Евро, 3</t>
  </si>
  <si>
    <t>редис Сакса РС(ран.спел., ОГ/ЗГ,окр.,ярк.-красн./бел.,сл.остр., 20-25 г.). МФ, 3</t>
  </si>
  <si>
    <t>редис Санька(ср.спел., ОГ/ЗГ,окр.,роз.-красн.с бел.конч./бел.-роз.,полу.остр., 18-20 г.). Евро, 2</t>
  </si>
  <si>
    <t>редис Селянка(ср.ран., ОГ,цилиндр., красн.с бел.конч./бел.,сл.остр., 25-30 г.). Евро, 3</t>
  </si>
  <si>
    <t>редис Селянка(ср.ран., ОГ,цилиндр., красн.с бел.конч./бел.,сл.остр., 25-30 г.). Евро, 2</t>
  </si>
  <si>
    <t>редис Селянка(ср.ран., ОГ,цилиндр., красн.с бел.конч./бел.,сл.остр., 25-30 г.). МФ, 2</t>
  </si>
  <si>
    <t>редис Сережкина любовь (красный)(скороспел., ОГ/ЗГ,окр.,красн./бел.,сл.остр., 10-15 г.). Евро, 2</t>
  </si>
  <si>
    <t>редис Сладкоежка®(ХИТ! оч.ран., ОГ/ПУ,удл.-цилиндр.,ярк.-красн.с бел.конч./бел.,сл.остр., 15-20 г.). Евро, 2</t>
  </si>
  <si>
    <t>редис Снежная Королева(ср.спел., ОГ/ЗГ,удл.-цилиндр.,бел./белоснежн.,сл.остр., 30-35 г.). Евро, 3</t>
  </si>
  <si>
    <t>редис Снежная Королева(ср.спел., ОГ/ЗГ,удл.-цилиндр.,бел./белоснежн.,сл.остр., 30-35 г.). МФ, 3</t>
  </si>
  <si>
    <t>редис Сосулька(поздн.спел., ОГ/ПУ,удл.-цилиндр.,бел./бел.,остр., 30-50 г.). Евро, 3</t>
  </si>
  <si>
    <t>редис Сосулька(поздн.спел., ОГ/ПУ,удл.-цилиндр.,бел./бел.,остр., 30-50 г.). МФ, 3</t>
  </si>
  <si>
    <t>редис Стойкий(ран.спел., ОГ,окр.,красн.-малин../бел.,полуостр., 15-30 г.). Евро, 3</t>
  </si>
  <si>
    <t>редис Стойкий(ран.спел., ОГ,окр.,красн.-малин../бел.,полуостр., 15-30 г.). МФ, 3</t>
  </si>
  <si>
    <t>I0000001128</t>
  </si>
  <si>
    <t>редис Суперстар(скороспел., ОГ/ЗГ,окр.,ярк.-красн./бел.,полуостр., 20-23 г.). Евро, 1</t>
  </si>
  <si>
    <t>редис Сюрприз Тещи(поздн.спел., ОГ,удл.-цилиндр.,бел./бел.,сл.остр., 30-50 г.). Евро, 2</t>
  </si>
  <si>
    <t>редис Тепличный(ск.спел., ПУ/ЗГ,окр.-овал.,роз.с бел.конч./бел.,сл.остр., 25-28 г.). Евро, 3</t>
  </si>
  <si>
    <t>редис Тепличный(ск.спел., ПУ/ЗГ,окр.-овал.,роз.с бел.конч./бел.,сл.остр., 25-28 г.). МФ, 3</t>
  </si>
  <si>
    <t>редис Три Недельки(ран.спел., ОГ, окр.,нас.-красн./бел.,полуостр., 10-15 г.). Евро, 2</t>
  </si>
  <si>
    <t>редис Удлиненный (смесь сортов)(ск.спел., ОГ,удл.-цилиндр.,красн.и роз. с бел.конч./бел.,сл.остр., 15-25 г.). Евро, 3</t>
  </si>
  <si>
    <t>редис Ультраранний (красный)(ультраскороспел., ОГ, окр.,нас.-красн./белоснежн.,сл.остр., 10-15 г.). Евро, 3</t>
  </si>
  <si>
    <t>редис Ультраранний (красный)(ультраскороспел., ОГ, окр.,нас.-красн./белоснежн.,сл.остр., 10-15 г.). МФ, 3</t>
  </si>
  <si>
    <t>редис Французский Завтрак(ран.спел., ОГ/ЗГ,удл.-цилиндр.,красн.с бел.конч./бел.-роз.,пикантн., 12-15 г.). Евро, 3</t>
  </si>
  <si>
    <t>редис Хруст®(ран.спел., ОГ/ЗГ,окр.,красн. с бел.конч./бел.,полуостр., 30-40 г.). Евро, 3</t>
  </si>
  <si>
    <t>редис Хруст®(ран.спел., ОГ/ЗГ,окр.,красн. с бел.конч./бел.,полуостр., 30-40 г.). Евро, 2</t>
  </si>
  <si>
    <t>редис Хруст®(ран.спел., ОГ/ЗГ,окр.,красн. с бел.конч./бел.,полуостр., 30-40 г.). МФ, 2</t>
  </si>
  <si>
    <t>редис Чемпион(ран.спел., ОГ/ЗГ,удл.-овал.,ярк.-красн./бел.,сл.остр., 18-20 г.). Евро, 3</t>
  </si>
  <si>
    <t>редис Чемпион(ран.спел., ОГ/ЗГ,удл.-овал.,ярк.-красн./бел.,сл.остр., 18-20 г.). МФ, 3</t>
  </si>
  <si>
    <t>I0000016135</t>
  </si>
  <si>
    <t>Редис Черрисо F1( ран/спел., ОГ/ЗГ, округл., ярк.-красн/бел., плотн.,сочн., вкус отличный, 25-35 г.). Евро, 1</t>
  </si>
  <si>
    <t>I0000016137</t>
  </si>
  <si>
    <t>Редис Черрисо Диско F1(ран.спел., округл.,ярк.- красн./бел.,слабоостр., пикантн.вкус, 25-30 г.). Евро, 1</t>
  </si>
  <si>
    <t>I0000016138</t>
  </si>
  <si>
    <t>Редис Черрисо Самба F1(ран.спел., округл., красн./бел.,сочная.,отл.вкус, 20 г.). Евро, 1</t>
  </si>
  <si>
    <t>I0000016136</t>
  </si>
  <si>
    <t>Редис Черрисо Танго(ран.спел., шаровидн.,ярк.- красн./бел.,хруст.,слабоостр., пикантн.вкус, 25-28 г.). Евро, 1</t>
  </si>
  <si>
    <t>РЕДЬКА</t>
  </si>
  <si>
    <t>редька Агата(ран.спел., конич.,бел./бел.,сл.остр., 300-400 г.). Евро, 1</t>
  </si>
  <si>
    <t>редька Агата(ран.спел., конич.,бел./бел.,сл.остр., 300-400 г.). МФ, 1</t>
  </si>
  <si>
    <t>I0000015132</t>
  </si>
  <si>
    <t>редька Ажур Черный (ср.спел.,окр/окр.-плоск.,черн../бел.,ср.остр./пикантн., 250-350 г.). Евро, 1</t>
  </si>
  <si>
    <t>редька Внучка F1 (лобо)(ран.спел., окр.-овал.,бел.-св.зелен./малин.-роз.,сл.остр., 200-300 г.). Евро, 1</t>
  </si>
  <si>
    <t>редька Детский Сон(ср.спел., удл.-цилиндр.,бел./бел.,сл.остр., 350-550 г.). Евро, 1</t>
  </si>
  <si>
    <t>редька Детский Сон(ср.спел., удл.-цилиндр.,бел./бел.,сл.остр., 350-550 г.). МФ, 1</t>
  </si>
  <si>
    <t>редька Завтрак гурмана(лоба)(ср.спел., удл.-цилиндр.,т.-зелен.с бел.конч./св.зелен.,сл.остр., 200-300 г.). Евро, 1</t>
  </si>
  <si>
    <t>редька Завтрак гурмана(лоба)(ср.спел., удл.-цилиндр.,т.-зелен.с бел.конч./св.зелен.,сл.остр., 200-300 г.). МФ, 1</t>
  </si>
  <si>
    <t>редька Зимняя Круглая Черная(ср.спел., окр.,черн./бел.,остр., 250-550 г.). Евро, 1</t>
  </si>
  <si>
    <t>редька Зимняя Круглая Черная(ср.спел., окр.,черн./бел.,остр., 250-550 г.). МФ, 1</t>
  </si>
  <si>
    <t>редька Зимняя Черная Длинная(ср.спел., удл.-цилиндр.,черн./бел.,остр.-сладк., 200-350 г.). Евро, 1</t>
  </si>
  <si>
    <t>редька Зимняя Черная Длинная(ср.спел., удл.-цилиндр.,черн./бел.,остр.-сладк., 200-350 г.). МФ, 1</t>
  </si>
  <si>
    <t>редька Майская (ран.спел., окр.,бел./бел.,сл.остр., 80-100 г.). Евро, 1</t>
  </si>
  <si>
    <t>редька Майская (ран.спел., окр.,бел./бел.,сл.остр., 80-100 г.). МФ, 1</t>
  </si>
  <si>
    <t>редька Маргеланская(ср.спел.,окр.-овал.,т.-зелен.с бел.конч./св.зелен.,сл.остр., 200-400 г.). Евро, 1</t>
  </si>
  <si>
    <t>редька Маргеланская(ср.спел.,окр.-овал.,т.-зелен.с бел.конч./св.зелен.,сл.остр., 200-400 г.). МФ, 1</t>
  </si>
  <si>
    <t>редька Мюнхен Бир(ран.спел., удл.-овал.,бел./бел.,сл.остр., 350-480 г.). Евро, 2</t>
  </si>
  <si>
    <t>редька Мюнхен Бир(ран.спел., удл.-овал.,бел./бел.,сл.остр., 350-480 г.). МФ, 2</t>
  </si>
  <si>
    <t>редька Мюнхенская Пивная(ран.спел., удл.-овал.,бел./бел.,сл.остр., 350-480 г.). Евро, 2</t>
  </si>
  <si>
    <t>редька Негритянка(поздн.спел., окр.-овал.,черн./бел.,сл.остр., 250-300 г.). Евро, 1</t>
  </si>
  <si>
    <t>редька Старт F1 (лобо)(ран.спел., окр.,св.-зелен./роз.-красн.,сл.остр./сладк., 120-180 г.). Евро, 1</t>
  </si>
  <si>
    <t>редька Старт F1 (лобо)(ран.спел., окр.,св.-зелен./роз.-красн.,сл.остр./сладк., 120-180 г.). МФ, 1</t>
  </si>
  <si>
    <t>редька Удача (лобо) (ран.спел., цилиндр.,зелен.с бел.конч./св.зелен.,без горечи, 800-1400 г.). Евро, 1</t>
  </si>
  <si>
    <t>I0000012614</t>
  </si>
  <si>
    <t>редька Харбин (лобо)(ср.спел.,цилиндр.,зелен./св.зелен.,сл.остр., 400-800 г.). Евро, 1</t>
  </si>
  <si>
    <t>I0000002361</t>
  </si>
  <si>
    <t>редька Чернавка(поздн.спел., окр.-плоск.,черн./бел.,сл.остр., 250-300 г.). Евро, 1</t>
  </si>
  <si>
    <t>I0000002374</t>
  </si>
  <si>
    <t>редька Черная зимняя(ср.спел.,окр.-плоск.,черн./бел..,остр.-сладк., 300-550 г.). Евро, 2</t>
  </si>
  <si>
    <t>редька Эсмеральда(ср.спел., цилиндр.,бел./бел.,без остр., 300-400 г.). Евро, 1</t>
  </si>
  <si>
    <t>редька Эсмеральда(ср.спел., цилиндр.,бел./бел.,без остр., 300-400 г.). МФ, 1</t>
  </si>
  <si>
    <t>РЕПА</t>
  </si>
  <si>
    <t>I0000013236</t>
  </si>
  <si>
    <t>репа Ажур(ср.ран.,ОГ/ПУ, грушевидн.,бел./бел,сладк., 8х15 см.). Евро, 1</t>
  </si>
  <si>
    <t>репа Детская Мечта(ср.ран., окр.,желт./желт.,150-200 г.). Евро, 1</t>
  </si>
  <si>
    <t>репа Детская Мечта(ср.ран., окр.,желт./желт.,150-200 г.). МФ, 1</t>
  </si>
  <si>
    <t>репа Золотой шар(ср.ран., окр.,желт./желт.,60-150 г.). Евро, 1</t>
  </si>
  <si>
    <t>репа Золотой шар(ср.ран., окр.,желт./желт.,60-150 г.). МФ, 1</t>
  </si>
  <si>
    <t>репа Красная шапочка(ср.спел., удл., бел.с пурп.верхушк./белоснежн., 200-250 г.). Евро, 1</t>
  </si>
  <si>
    <t>репа Красная шапочка(ср.спел., удл., бел.с пурп.верхушк./белоснежн., 200-250 г.). МФ, 1</t>
  </si>
  <si>
    <t>репа Петровская 1(ср.ран.,плоск.-окр.,желт./желт.,60-150 г.). Евро, 1</t>
  </si>
  <si>
    <t>I0000002482</t>
  </si>
  <si>
    <t>репа Питерская ночь(ср.спел.,удл.-цилиндр., черн./бел.,200-250 г.). Евро, 1</t>
  </si>
  <si>
    <t>репа Питерская ночь(ср.спел.,удл.-цилиндр., черн./бел.,200-250 г.). МФ, 1</t>
  </si>
  <si>
    <t>репа Пурпурная с б/к(ср.ран., окр.,малин.-роз.с бел.конч../бел.,100-120 г.). Евро, 1</t>
  </si>
  <si>
    <t>репа Пурпурная с б/к(ср.ран., окр.,малин.-роз.с бел.конч../бел.,100-120 г.). МФ, 1</t>
  </si>
  <si>
    <t>репа Ранняя Пурпурная(ср.ран., окр.,бел. с малин.-пурп.верхом/бел.,80-100 г.). Евро, 1</t>
  </si>
  <si>
    <t>репа Ранняя Пурпурная(ср.ран., окр.,бел. с малин.-пурп.верхом/бел.,80-100 г.). МФ, 1</t>
  </si>
  <si>
    <t>репа Снежный шар(ср.спел., окр., бел./бел.,250-300 г.). Евро, 1</t>
  </si>
  <si>
    <t>репа Снежный шар(ср.спел., окр., бел./бел.,250-300 г.). МФ, 1</t>
  </si>
  <si>
    <t>репа Хруста(ср.ран., окр.,малин.-роз.с бел.конч../бел.,100-120 г.). Евро, 1</t>
  </si>
  <si>
    <t>репа Хруста(ср.ран., окр.,малин.-роз.с бел.конч../бел.,100-120 г.). МФ, 1</t>
  </si>
  <si>
    <t>РУКОЛА</t>
  </si>
  <si>
    <t>I0000002405</t>
  </si>
  <si>
    <t>рукола Дикая (двурядник тонколистный) (ран.спел., ОГ/ЗГ/ПУ, полураскид.,перист.-рассеч.мелк.т.-зелен., орех.-горч.-остр.12-15 см.). Евро, 0,3</t>
  </si>
  <si>
    <t>I0000015623</t>
  </si>
  <si>
    <t>рукола дикая Итальянка (двурядник тонколистный) . Евро, 0,3</t>
  </si>
  <si>
    <t>I0000002404</t>
  </si>
  <si>
    <t>рукола Культурная (индау)(ск.спел.,ОГ/ЗГ,полуприподн.,лировидн.ср.разм.,изумр.-зелен.,орех.-горч.,15-20 см.). Евро, 1</t>
  </si>
  <si>
    <t>рукола Культурная (индау) Аромат(ск.спел.,ОГ/ЗГ,полуприподн.,лировидн.ср.разм.,зелен.,орех.-горч.,15-20 см.). Евро, 1</t>
  </si>
  <si>
    <t>рукола Культурная (индау) Виктория (ск.спел.,ОГ/ПУ.,лист.обильн.,нежн.,зелен.,орех.-горч.,15-20 см.). Евро, 1</t>
  </si>
  <si>
    <t>рукола Культурная (индау) Виктория (ск.спел.,ОГ/ПУ.,лист.обильн.,нежн.,зелен.,орех.-горч.,15-20 см.). МФ, 1</t>
  </si>
  <si>
    <t>рукола Культурная (индау) Спартак (ск.спел.,ОГ/ЗГ/горш.,полураскид.,лировидн.,ср.разм.,зелен.,прян.). Евро, 0,3</t>
  </si>
  <si>
    <t>САЛАТ</t>
  </si>
  <si>
    <t>салат Авангард (айсберг)(ран.спел.,ОГ/ПУ,окр.крупн.,кудр.,салат.-зелен.,сочн.,400-800г.). Евро, 0,5</t>
  </si>
  <si>
    <t>I0000015133</t>
  </si>
  <si>
    <t>салат Ажур (листовой)(ран.спел.,ОГ/ПУ,окр.ср.разм.,св.-зелен.,изум.вкус.,125-250г.). Евро, 0,5</t>
  </si>
  <si>
    <t>салат Айсберг (айсберг)(ср.спел.,ОГ/ПУ,окр.крупн.,кудр.,инт.-зелен.,изум.вкус.,800-1000г.). Евро, 0,5</t>
  </si>
  <si>
    <t>салат Аттракцион (кочанный)(ср.ран.,ОГ/ПУ,ср.плотн.,св.-зелен.,сладк.вкус.,100-200г.). Евро, 1</t>
  </si>
  <si>
    <t>салат Беата (айсберг)(ран.спел.,ОГ/ПУ,плотн.,св.-зелен.,хруст.,500-600г.). Евро, 0,5</t>
  </si>
  <si>
    <t>салат Берлинский Желтый (кочанный)(ср.спел.,ОГ,окр.плотн.,волнист.,св.-зелен.,сладк.вкус., до 200 г.). Евро, 1</t>
  </si>
  <si>
    <t>салат Бона (кочанный)(оч.ск.спел.,ОГ,крупн.,плотн.,желт.-зелен.,нежн.маслян.вкус.,350-375 г.). Евро, 1</t>
  </si>
  <si>
    <t>салат Борода Капуцина (цикорный) (всесезон.,ярк.-зелен.,горьк.). Евро, 0,5</t>
  </si>
  <si>
    <t>салат Валерьянница Огородная (полевой)(ран.спел.,ОГ,удл.овал.,.зелен.,ориг.вкус.). Евро, 1</t>
  </si>
  <si>
    <t>салат Весеннее Кружево (эндивий)(ран.спел.,удл.рассечен.кудряв.,зелен., с горечью). Евро, 0,5</t>
  </si>
  <si>
    <t>салат Весенний (кресс)(ск.спел.,ОГ/ЗГ,с ажурн.расечен.,нежн.сочн.,св.-зелен.,остр.вкус.). Евро, 1</t>
  </si>
  <si>
    <t>салат Витаминный (листовой)(ср.спел.,ОГ,продолг.,крупн.,св.-зелен.,изум.вкус.,200-300 г.). Евро, 0,5</t>
  </si>
  <si>
    <t>салат Доктор Диабета (цикорный)(ср.ран.,ярк.-зелен.,горьков..вкус.). Евро, 0,5</t>
  </si>
  <si>
    <t>салат Доллар (кочанный)(ср.спел.,окр.,св.-зелен.,отл.вкус.,180-300 г.). Евро, 0,5</t>
  </si>
  <si>
    <t>салат Зима (листовой)(ск.спел.,ОГ/ПУ,некрупн.,ср.плотн.,св.-зелен.,маслян.). Евро, 0,5</t>
  </si>
  <si>
    <t>салат Изумрудный (листовой)(ср.спел.,ОГ,ср.толщ.,т.-зелен.,маслян.,60-70 г.). Евро, 0,5</t>
  </si>
  <si>
    <t>салат Кадо (кочанный)(ср.спел.,ОГ,ср.велич.,рыхл.,зелен./красн.-бордов.,маслян., 170-230 г..). Евро, 1</t>
  </si>
  <si>
    <t>салат Кадо (кочанный)(ср.спел.,ОГ,ср.велич.,рыхл.,зелен./красн.-бордов.,маслян., 170-230 г..). МФ, 1</t>
  </si>
  <si>
    <t>салат Конус Витлуф (цикорный)(ср.ран.,крупн.,элиптич.,бел.,горьков.вкус.,15-20 см.). Евро, 0,5</t>
  </si>
  <si>
    <t>салат Королева Льда (айсберг)®(ХИТ! ран.спел.,ОГ,окр.,ср.плотн.,крупн.,ярк.-зелен.,хруст.,250-500 г.). МФ, 0,5</t>
  </si>
  <si>
    <t>салат Космос (айсберг)(ск.спел.,ОГ,крупн.,т-зелен.,хруст.,270-350 г.). Евро, 1</t>
  </si>
  <si>
    <t>салат Красавчик (листовой)®(ср.спел.,пер.-рассеч.,зелен.,маслян.,отл.вкус,250-270 г.). Евро, 0,5</t>
  </si>
  <si>
    <t>салат Краснолистный Летний® (листовой)(ср.ран.,ОГ,волнист.,красн.,маслян.,230-250 г.). Евро, 0,5</t>
  </si>
  <si>
    <t>салат Краснолистный Летний® (листовой)(ср.ран.,ОГ,волнист.,красн.,маслян.,230-250 г.). МФ, 0,5</t>
  </si>
  <si>
    <t>салат Курлед (кресс)(ультроск.спел.,ОГ/ЗГ,сл.-рассечен.,зелен.,остр.горч.вкус.). Евро, 1</t>
  </si>
  <si>
    <t>салат Кучерявец Одесский (полукочанный)(ср.поздн.,ОГ/ПУ,ср.рыхл.курчав.,св.-зелен., 200-220 г.). Евро, 0,5</t>
  </si>
  <si>
    <t>I0000016458</t>
  </si>
  <si>
    <t>салат Летний Золотой (листовой)®(ран.спел.,ОГ,крупн.,рыхл.,.,св.-зелен., до 300 г.). Евро, 0,5</t>
  </si>
  <si>
    <t>салат Летний Золотой (листовой)®(ран.спел.,ОГ,крупн.,рыхл.,.,св.-зелен., до 300 г.). МФ, 0,5</t>
  </si>
  <si>
    <t>салат Летняя Радость (кочанный тип Ромен)(ср.спел.,ОГ,удлин.крупн.,зелен.,отл.вкус.,800-1000г.). Евро, 1</t>
  </si>
  <si>
    <t>салат Лолло Бионда (полукочанный)(ран.спел.,ОГ/ПУ,плотн.,зелен.,отл.вкус.,200-250 г.). Евро, 1</t>
  </si>
  <si>
    <t>салат Лолло Росса (листовой)(ср.спел.,ОГ,крупн.,волнист.,краснов.,изум.вкус.,200-350 г.). Евро, 0,5</t>
  </si>
  <si>
    <t>салат Лолло Росса (листовой)(ср.спел.,ОГ,крупн.,волнист.,краснов.,изум.вкус.,200-350 г.). МФ, 0,5</t>
  </si>
  <si>
    <t>салат Мальвина (айсберг)(ср.спел.,окр.ср.плотн.,ср.разм/волнист.,зелен.,хруст.,200-240 г.). Евро, 0,5</t>
  </si>
  <si>
    <t>салат Машенька (кочанный)(ран.спел.,ср.разм.,волнист.,св.-зелен.,маслян.,отл.вкус., 250-300 г.). Евро, 1</t>
  </si>
  <si>
    <t>салат Московский Парниковый (листовой)(ср.ран.,ОГ/ЗГ,бл.-зелен.,сладк.вкус.,100-200 г.). Евро, 0,5</t>
  </si>
  <si>
    <t>салат Нежный (эндивий)(ран.спел.,шир.изрезан.кудряв.,зелен., с горечью). Евро, 0,5</t>
  </si>
  <si>
    <t>салат Нежный (эндивий)(ран.спел.,шир.изрезан.кудряв.,зелен., с горечью). МФ, 0,5</t>
  </si>
  <si>
    <t>салат Новогодний (листовой )(ран.спел.,ОГ/ЗГ,инт.-зелен.,маслян.,80-125 г.). Евро, 0,5</t>
  </si>
  <si>
    <t>салат Новогодний (листовой )(ран.спел.,ОГ/ЗГ,инт.-зелен.,маслян.,80-125 г.). МФ, 0,5</t>
  </si>
  <si>
    <t>салат Обхрустишься (айсберг) (ср.спел.,ОГ, крупн.,плотн.,инт.-зелен.,курчав.,хруст.,сладк., до 1000 г.). Евро, 0,5</t>
  </si>
  <si>
    <t>салат Пикант (кресс)(ультраск.спел.,ОГ/ЗГ, перист.-рассеч.,зелен.,остр.). Евро, 1</t>
  </si>
  <si>
    <t>салат Пикант (кресс)(ультраск.спел.,ОГ/ЗГ, перист.-рассеч.,зелен.,остр.). МФ, 1</t>
  </si>
  <si>
    <t>салат Пучковый (кресс)(ск.спел.,ОГ/З,перист.-рассеч.,св.-зелен.,горчичн.вкус). Евро, 1</t>
  </si>
  <si>
    <t>салат Рубин (цикорный)(ран.спел.,окр.,плотн.,красн.-бордов.,горков., 400-450 г.). Евро, 0,5</t>
  </si>
  <si>
    <t>салат Салатная Чаша (листовой)(ран.спел.,ОГ, плотн.,зелен.,волнист.,отл.вкус.,280-370 г.). Евро, 1</t>
  </si>
  <si>
    <t>салат Салатная Чаша (листовой)(ран.спел.,ОГ, плотн.,зелен.,волнист.,отл.вкус.,280-370 г.). МФ, 1</t>
  </si>
  <si>
    <t>салат Сашенька (кочанный)(ср.спел.,крупн.,плотн.,желт.-зелен.,сочн.,маслян.,вкусн.,400-500 г.). Евро, 1</t>
  </si>
  <si>
    <t>салат Скороспелый Деликатес® (листовой) (ХИТ! ск.спел.,ОГ/ПУ, крупн.,зелен.,нежн.,сочн., 100-120 г.). Евро, 0,5</t>
  </si>
  <si>
    <t>салат Скороспелый Деликатес® (листовой) (ХИТ! ск.спел.,ОГ/ПУ, крупн.,зелен.,нежн.,сочн., 100-120 г.). МФ, 0,5</t>
  </si>
  <si>
    <t>I0000002377</t>
  </si>
  <si>
    <t>салат Смесь ранних сортов (листовой)(ОГ/ПУ,маслян.,хруст.,зелен.,красн.-бурые). Евро, 1</t>
  </si>
  <si>
    <t>салат Стрелы Амура (цикорный)(ср.ран.,изрез.,стреловидн.,зелен.30-35 см.). Евро, 0,5</t>
  </si>
  <si>
    <t>салат Татьяна (цикорный)(ср.спел.,крупн.,рыхл.,св.-зелен.,округл.,горьков., 150-200 г.). Евро, 0,5</t>
  </si>
  <si>
    <t>I0000001036</t>
  </si>
  <si>
    <t>салат Удача (листовой)(ран.спел.,ОГ/теплиц.,волн.,инт.-зелен.,маслян., 150-300 г.). Евро, 0,5</t>
  </si>
  <si>
    <t>салат Холодок (листовой)(ран.спел.,ОГ/ПУ, удл.-овал.,св.-зелен.,сочн.,нежн., 135-150 г.). Евро, 0,5</t>
  </si>
  <si>
    <t>салат Хруст (айсберг)(ср.спел.,ОГ/ЗГ, крупн.,окр.-овал.,плотн.,зелен.,курчав.,хруст.,400-600 г.). Евро, 0,5</t>
  </si>
  <si>
    <t>салат Шедевр Вкуса (кочанный)(ср.спел.,ОГ, крупн.,плотн.,зелен.,маслян., 500-600 г.). Евро, 1</t>
  </si>
  <si>
    <t>СВЁКЛА</t>
  </si>
  <si>
    <t>I0000002425</t>
  </si>
  <si>
    <t>свёкла Ажур (ран.спел.,окр., красн./т.красн.,110-200 г.). Евро, 2</t>
  </si>
  <si>
    <t>свёкла Багровый Шар (столовая)®(ХИТ! ср.спел.,окр., т.бордов./т.бордов.,150-240 г.). Евро, 3</t>
  </si>
  <si>
    <t>свёкла Багровый Шар (столовая)®(ХИТ! ср.спел.,окр., т.бордов./т.бордов.,150-240 г.). МФ, 2</t>
  </si>
  <si>
    <t>свёкла Боро F1 (столовая)(ср.спел.,окр, инт.-красн./красн.,сладк., 150-250 г.). Евро, 50</t>
  </si>
  <si>
    <t>свёкла Глоб F1 (столовая)(ран.спел.,окр.-овал., инт.-пурпурн./т.-малинов.,сладк., 200-300 г.). Евро, 3</t>
  </si>
  <si>
    <t>свёкла Дачница (столовая)(ср.спел.,окр., борд./т.-красн., 170-350 г.). Евро, 3</t>
  </si>
  <si>
    <t>свёкла Дачница (столовая)(ср.спел.,окр., борд./т.-красн., 170-350 г.). МФ, 3</t>
  </si>
  <si>
    <t>свёкла Даша (столовая)®(ср.спел.,окр., борд./красн.-борд., 150-200 г.). Евро, 3</t>
  </si>
  <si>
    <t>свёкла Даша (столовая)®(ср.спел.,окр., борд./красн.-борд., 150-200 г.). МФ, 2</t>
  </si>
  <si>
    <t>свёкла Двусемянная ТСХА (столовая)(ср.спел.,окр., т.-красн./инт.-красн., 200-400 г.). Евро, 3</t>
  </si>
  <si>
    <t>свёкла Двусемянная ТСХА (столовая)(ср.спел.,окр., т.-красн./инт.-красн., 200-400 г.). МФ, 3</t>
  </si>
  <si>
    <t>свёкла Детройт (столовая)(ран.спел.,окр., борд./т.-красн., 110-200 г.). Евро, 3</t>
  </si>
  <si>
    <t>свёкла Донна (столовая)(ср.поздн.,цилиндр., т.-красн./инт.-красн.,сладк., 140-300 г.). Евро, 3</t>
  </si>
  <si>
    <t>свёкла Египетская Плоская (столовая)(ран.спел.,плоскокр., т.-красн./красн.-фиол., 300-500 г.). Евро, 3</t>
  </si>
  <si>
    <t>свёкла Идеал  (столовая)(ср.поздн.,окр., борд./т.-красн., 150-250 г.). Евро, 3</t>
  </si>
  <si>
    <t>I0000012600</t>
  </si>
  <si>
    <t>свёкла Карамельная (столовая)(ср.спел.,удл.-конич., красн./красн.,сладк., 250-350 г.). Евро, 1</t>
  </si>
  <si>
    <t>свёкла Катя F1®  (столовая)(ср.ран.,окр., т.-борд./т.-красн., 250-350 г.). Евро, 1</t>
  </si>
  <si>
    <t>I0000001132</t>
  </si>
  <si>
    <t>свёкла Командор (столовая)(ср.-поздн.,цилиндр., т.-борд./т.-красн., 250-350 г.). Евро, 1</t>
  </si>
  <si>
    <t>свёкла Командор (столовая)(ср.-поздн.,цилиндр., т.-борд./т.-красн., 250-350 г.). Евро, 2</t>
  </si>
  <si>
    <t>свёкла Кормовая Жёлтая (ср.спел.,цилиндр., желт.-зелен./желт., 300-800 г.). Евро, 3</t>
  </si>
  <si>
    <t>свёкла Красный Шар улучшенная (столовая)(ультраск.-спел.,окр., т.-красн./т.-красн.,сладк., 150-250 г.). Евро, 3</t>
  </si>
  <si>
    <t>свёкла Кросби (столовая)(ср.спел.,плоск,-окр.,т.-красн./т.-борд.с фиол.от., 120-130 г.). Евро, 3</t>
  </si>
  <si>
    <t>свекла Кубанская борщевая 43 (столовая)(ср.поздн.,окр.-овал., красн./красн.с бел.кольц., 320-450 г.). Евро, 3</t>
  </si>
  <si>
    <t>свёкла Мадам Ружетт F1® (столовая)(ХИТ! ран.-спел.,окр., т.-красн./красн., 150-250 г.). Евро, 3</t>
  </si>
  <si>
    <t>свёкла Мадам Ружетт F1® (столовая)(ХИТ! ран.-спел.,окр., т.-красн./красн., 150-250 г.). МФ, 2</t>
  </si>
  <si>
    <t>I0000002788</t>
  </si>
  <si>
    <t>свёкла Мажор F1 (ран.спел.,окр, т.-красн./красн., 170-200 г.). Евро, 1</t>
  </si>
  <si>
    <t>свёкла Матрёна (столовая)(ран.-спел.,цилиндр., т.-красн./красн.,фиолет., 220-300 г.). Евро, 3</t>
  </si>
  <si>
    <t>свёкла Матрона СеДеК (столовая)(поздн.-спел.,окр., т.-красн./инт.-красн.,сладк., 250-500 г.). Евро, 3</t>
  </si>
  <si>
    <t>I0000001131</t>
  </si>
  <si>
    <t>свёкла Милана F1 (полусладкая,одноростк)( кормовая)(ср.поздн.,овал., бел.-зелен./бел, до 3000 г.). Евро, 1</t>
  </si>
  <si>
    <t>свёкла Несравненная А 463 (столовая)(ран.спел.,плоск.-окр., т.-красн./т.-красн.,сочн., 170-380 г.). Евро, 3</t>
  </si>
  <si>
    <t>свёкла Одноростковая (столовая)(ср.спел.,окр., т.-вишн./т.борд.,сочн., 280-350 г.). Евро, 3</t>
  </si>
  <si>
    <t>свёкла Пабло F1 (столовая)(ср.-ран.,окр., т.-борд./красн., 170-180 г.). Евро, 0,5</t>
  </si>
  <si>
    <t>свёкла Патрик (столовая)(ср.поздн.,окр.,борд./борд., 150-200 г.). Евро, 3</t>
  </si>
  <si>
    <t>свёкла Первый Урожай (столовая)®(ран.спел.,окр., т.-борд./т.-красн., 180-200 г.). Евро, 3</t>
  </si>
  <si>
    <t>свёкла Первый Урожай (столовая)®(ран.спел.,окр., т.-борд./т.-красн., 180-200 г.). МФ, 2</t>
  </si>
  <si>
    <t>свёкла Подзимняя А 474 (столовая)(ср.ран.,окр., т.-красн./т.-красн.,сочн.,сладк., 200-300 г.). Евро, 3</t>
  </si>
  <si>
    <t>свёкла Салатная (столовая)(поздн.спел.,окр.,т.-борд./т.-красн.,сочн.,сладк., 250-300 г.). Евро, 3</t>
  </si>
  <si>
    <t>свёкла Салатная (столовая)(поздн.спел.,окр.,т.-борд./т.-красн.,сочн.,сладк., 250-300 г.). МФ, 2</t>
  </si>
  <si>
    <t>свёкла Соната (столовая)®(ср.спел.,цилиндр.,инт.-красн./инт.-красн.,нежн.,сладк., 150-400 г.). Евро, 3</t>
  </si>
  <si>
    <t>свёкла Соната (столовая)®(ср.спел.,цилиндр.,инт.-красн./инт.-красн.,нежн.,сладк., 150-400 г.). МФ, 2</t>
  </si>
  <si>
    <t>свёкла Хавская (столовая)(ср.поздн.,окр.,т.-красн./красн.с борд.от.,сочн.,нежн., 300-500 г.). Евро, 3</t>
  </si>
  <si>
    <t>свёкла Цилиндра (столовая)(ср.спел.,цилиндр.,т.-борд./т.-красн.,сочн.,нежн., 200-330 г.). Евро, 3</t>
  </si>
  <si>
    <t>свёкла Червона Кула (столовая)(ск.спел.,окр.,т.-красн./нас.-красн.,сочн.,сладк., 230-280 г.). Евро, 3</t>
  </si>
  <si>
    <t>свёкла Червона Кула (столовая)(ск.спел.,окр.,т.-красн./нас.-красн.,сочн.,сладк., 230-280 г.). МФ, 3</t>
  </si>
  <si>
    <t>свёкла Чёрная Вдова (столовая)®(ХИТ! ран.спел.,окр.,т.-борд./т.-красн., до 200 г.). Евро, 3</t>
  </si>
  <si>
    <t>свёкла Чёрная Вдова (столовая)®(ХИТ! ран.спел.,окр.,т.-борд./т.-красн., до 200 г.). МФ, 2</t>
  </si>
  <si>
    <t>СЕЛЬДЕРЕЙ</t>
  </si>
  <si>
    <t>сельдерей Аврора (черешк.)(ср.спел., роз.раскид.,черешк..желт.-зелен.,выс.аром., до 22 см). Евро, 0,5</t>
  </si>
  <si>
    <t>сельдерей Высокий (листовой)(ран.спел., роз.полувертик.,лист.ср.длины,.т.-зелен.,оч.аром., 45-55 см). Евро, 0,5</t>
  </si>
  <si>
    <t>сельдерей Высокий (листовой)(ран.спел., роз.полувертик.,лист.ср.длины,.т.-зелен.,оч.аром., 45-55 см). МФ, 0,5</t>
  </si>
  <si>
    <t>сельдерей Гигант Восточный (черешк.)(ср.спел., роз.прямостояч.,черешк..св.-зелен.,аром., до 50 см). Евро, 0,5</t>
  </si>
  <si>
    <t>сельдерей Грибовский (корневой)(ср.поздн., роз.высокоросл.,кор.окр.,сер.-бел/бел,пикантн., 200-250 г.). Евро, 0,5</t>
  </si>
  <si>
    <t>сельдерей Захар (листовой)(ср.спел., роз.полуприподн.,лист.ср.длины,.зелен.,прян.аром., до 40 см). Евро, 0,5</t>
  </si>
  <si>
    <t>сельдерей Лекарь (листовой)(ран.спел., роз.полувертик.,лист.ср.длины,.т.-зелен.,аром.). Евро, 0,5</t>
  </si>
  <si>
    <t>сельдерей Мужская Доблесть (черешк.)(ран.спел., роз.прямостояч.,черешк.св.-зелен.,сочн.,аром., до 45 см). Евро, 0,5</t>
  </si>
  <si>
    <t>сельдерей Нежный (листовой)(ср.спел., роз.полуприподн.,лист.ср.длины,.т.-зелен.,выс.аром., 35-40 см). Евро, 0,5</t>
  </si>
  <si>
    <t>сельдерей Паскаль (черешк.)(ср.спел., роз.полувертик.,черешк.св.-зелен.,выс.аром., до 25 см). Евро, 0,5</t>
  </si>
  <si>
    <t>сельдерей Пражский гигант (корневой)(ср.спел., роз.раскид.,кор.окр.,сер.-бел/бел,аром., 300-500 г.). Евро, 0,5</t>
  </si>
  <si>
    <t>сельдерей Пучковый (листовой)(ран.спел., роз.полувертик.,лист.полугл,.т.-зелен.,оч.аром., 50-55 см). Евро, 0,5</t>
  </si>
  <si>
    <t>сельдерей Пучковый (листовой)(ран.спел., роз.полувертик.,лист.полугл,.т.-зелен.,оч.аром., 50-55 см). МФ, 0,5</t>
  </si>
  <si>
    <t>сельдерей Хруст (черешковый)(ср.спел., роз.вертик.,черешк.т.-зелен.,сочн.,аром.). Евро, 0,2</t>
  </si>
  <si>
    <t>сельдерей Юпитер (корневой)(ск.-спел., роз.полураскид.,кор.окр.,сер.-бел/бел.,аром., 220-360 г.). Евро, 0,5</t>
  </si>
  <si>
    <t>сельдерей Юпитер (корневой)(ск.-спел., роз.полураскид.,кор.окр.,сер.-бел/бел.,аром., 220-360 г.). МФ, 0,5</t>
  </si>
  <si>
    <t>сельдерей Яблочный (корневой)(ран.-спел., роз.полураск.,кор.окр.,сер.-бел/бел,аром., 200-400 г.). Евро, 0,5</t>
  </si>
  <si>
    <t>сельдерей Яблочный (корневой)(ран.-спел., роз.полураск.,кор.окр.,сер.-бел/бел,аром., 200-400 г.). МФ, 0,5</t>
  </si>
  <si>
    <t>СИДЕРАТ</t>
  </si>
  <si>
    <t>сидерат Горчица 0,5 кг (для обог.почвы органикой.). 500</t>
  </si>
  <si>
    <t>СПАРЖА</t>
  </si>
  <si>
    <t>спаржа Аржентельская (ран.спел., бел.с роз.-фиол.от./бел.,отл.вкус, 145-170 см). Евро, 0,5</t>
  </si>
  <si>
    <t>спаржа Мария (ср.спел., бел.с роз.-фиол.от./желт.,отл.вкус, 150-170 см). Евро, 0,5</t>
  </si>
  <si>
    <t>ТАБАК</t>
  </si>
  <si>
    <t>табак Вирджиния 202  ( крупн.,1,8-2 м.,св.-зелен., делик.,тонк.аромат). Евро, 0,01</t>
  </si>
  <si>
    <t>I0000000652</t>
  </si>
  <si>
    <t>табак Самсун 85 ( оч.ран.,средн.,1-1,5 м.,т.-зелен., делик.,тонк.,сладковат.аромат). Евро, 0,01</t>
  </si>
  <si>
    <t>ТОМАТ</t>
  </si>
  <si>
    <t>I0000012736</t>
  </si>
  <si>
    <t>Томат Аватар F1 (ранний, ОГ, ПУ, дет, сердцевид. с носик, красн, 240-300г, универсал.). Евро, 0,05</t>
  </si>
  <si>
    <t>Томат Аврора F1 (ранний, ОГ, ПУ, дет, округл сл/реб, интенсив.-красн, 150г, высокоурож.). Евро, 0,05</t>
  </si>
  <si>
    <t>Томат Ажур F1 (ХИТ! ранний, ОГ, ПУ, дет, пл/округ, красно-малин, до 400г, суперурож.). Евро, 0,1</t>
  </si>
  <si>
    <t>Томат Айсберг (ранний, ОГ, ПУ, дет, пл/округ, красн, 200г, холодостойк.). Евро, 0,2</t>
  </si>
  <si>
    <t>Томат Айсберг (ранний, ОГ, ПУ, дет, пл/округ, красн, 200г, холодостойк.). МФ, 0,2</t>
  </si>
  <si>
    <t>I0000001547</t>
  </si>
  <si>
    <t>Томаты Великие</t>
  </si>
  <si>
    <t>Томат Александр Великий F1 (ХИТ! ПУ, ЗГ, индет, пл/округ, насыщ-тем-красн, малин.мяк, до 500г, очень сладкий). Евро, 0,03</t>
  </si>
  <si>
    <t>I0000003122</t>
  </si>
  <si>
    <t>Томат Александр Второй F1 (ОГ, ПУ, дет, округ, пл/округ, темн-красн, 180-280г, унивесал.). Евро, 0,03</t>
  </si>
  <si>
    <t>I0000003121</t>
  </si>
  <si>
    <t>Томат Александр Первый F1 (ранний, ОГ, ПУ, дет, округ, ярко-красн, 180-300г, высокоурож.).. Евро, 0,03</t>
  </si>
  <si>
    <t>Томат Алексеевна (ранний, ОГ, ПУ, дет, округ, красн, 150-200г, салатный). Евро, 0,05</t>
  </si>
  <si>
    <t>I0000002190</t>
  </si>
  <si>
    <t>Томат Алпатьева 905 А (скороспел, ОГ, ПУ, дет, штамб, пл/окр сл/реб, красн, 60-80г, советск. селекц.). Евро, 0,1</t>
  </si>
  <si>
    <t>Томат Альфа (очень ран, ОГ, ПУ, супердет, штамб, пл/округ, красн, 50-70г, урожайн.). Евро, 0,1</t>
  </si>
  <si>
    <t>Томат Альфа (очень ран, ОГ, ПУ, супердет, штамб, пл/округ, красн, 50-70г, урожайн.). МФ, 0,1</t>
  </si>
  <si>
    <t>Томаты без рассады</t>
  </si>
  <si>
    <t>Томат Аляска (смесь) (скороспел, ранний, ОГ, ПУ, дет, округ, пл/округ, красн, 90-150г, холодост.). Евро, 0,2</t>
  </si>
  <si>
    <t>I0000015194</t>
  </si>
  <si>
    <t>Томаты ШокоЛандия</t>
  </si>
  <si>
    <t>томат Амазонка Шоколадная (Среднеспел, ОГ, ПУ, дет, пл/округ, коричнев, до 300г,). Евро, 0,1</t>
  </si>
  <si>
    <t>Томат Амурская заря (ранний, ОГ, ПУ, дет, пл/округ, розов, до 250г, салатн.). Евро, 0,1</t>
  </si>
  <si>
    <t>I0000001972</t>
  </si>
  <si>
    <t>Томат Амурский штамб (ранний, ОГ, ПУ, дет, штамб, округ, пл/округ, красн, 100-120г, холодост.). Евро, 0,1</t>
  </si>
  <si>
    <t>Томат Андромеда F1 (ранний, ОГ, ПУ, дет, пл/округ, красн, 70-120г, высокоурож.). Евро, 0,05</t>
  </si>
  <si>
    <t>I0000001973</t>
  </si>
  <si>
    <t>Томат Аня (ОГ, ПУ, дет, овал-округ, оранж-красн, 90-120г, плотный). Евро, 0,1</t>
  </si>
  <si>
    <t>Томат Апельсин (ранний, ОГ, ПУ, индет, округ, оранж, 200-400г, салатн.). Евро, 0,1</t>
  </si>
  <si>
    <t>Томат Аристократ F1 (ранний, ЗГ, индет, округ, пл/округ сл/реб, светло-красн, до 300г, салатн.). Евро, 0,05</t>
  </si>
  <si>
    <t>Томат Артист F1 (ЗГ, индет, округ, светл-красн, 150-200г, высокоурож.). Евро, 0,05</t>
  </si>
  <si>
    <t>I0000002004</t>
  </si>
  <si>
    <t>Томат Балконное чудо (ХИТ! скороспел, ОГ, дом/усл, дет, округ, ярко-красн, 30-40г, декор, универсал.). Евро, 0,1</t>
  </si>
  <si>
    <t>Томат Балконный F1 (ранний, ПУ, тепл, индет, округ, ярко-красн, 20-30г, декор, консервн.). Евро, 0,1</t>
  </si>
  <si>
    <t>Томат Баночный (ранний, ОГ, тепл, индет, округ, красн, 30-40г, консервн.). Евро, 0,1</t>
  </si>
  <si>
    <t>Томат Баночный (ранний, ОГ, тепл, индет, округ, красн, 30-40г, консервн.). МФ, 0,1</t>
  </si>
  <si>
    <t>Томат Барин F1 (ХИТ! ОГ, ПУ, дет, пл/округ, красн, 250-300г, сверхурож.). Евро, 0,05</t>
  </si>
  <si>
    <t>Томат Баронесса F1 (ОГ, ПУ, дет, пл/округ, красн, 150-200г, плотный). Евро, 0,05</t>
  </si>
  <si>
    <t>I0000015581</t>
  </si>
  <si>
    <t>томат Бегемот коричневый з/г  (ср.спел.,ЗГ/парн.,плоскоокр.,ребрист.,200-250 г.,коричн.,сладк.,для салат.,соков). Евро, 0,05</t>
  </si>
  <si>
    <t>I0000001453</t>
  </si>
  <si>
    <t>Томат Бегемот малиновый F1 (ОГ, ПУ, тепл, дет, округ, пл/округ, малин, 230-270г, вкусный!). Евро, 0,05</t>
  </si>
  <si>
    <t>I0000016176</t>
  </si>
  <si>
    <t>томат Бегемот розовый. Евро, 0,05</t>
  </si>
  <si>
    <t>Томат Белый налив 241 (ранний, ОГ, дет, округ, красн, 80-150г, салатн.). Евро, 0,1</t>
  </si>
  <si>
    <t>Томат Беталюкс (ХИТ! ультраскороспел, ОГ, ПУ, дет, штамб, округ, пл/округ, красн, 80-120г, урожайн.). Евро, 0,1</t>
  </si>
  <si>
    <t>Томат Беталюкс (ХИТ! ультраскороспел, ОГ, ПУ, дет, штамб, округ, пл/округ, красн, 80-120г, урожайн.). МФ, 0,1</t>
  </si>
  <si>
    <t>Томат Бистро F1 (ультраскороспел, ОГ, тепл, дет, пл/округ, ярко-красн, 80-100г, высокоурож.). Евро, 0,05</t>
  </si>
  <si>
    <t>I0000002005</t>
  </si>
  <si>
    <t>Томат Биф (ПУ, парн, дет, пл/округ, насыщ-красн, 200-250г, салатн.). Евро, 0,1</t>
  </si>
  <si>
    <t>I0000002006</t>
  </si>
  <si>
    <t>Томат Благородный принц (тепл, дет, сливовид, ярко-красн, до 30г, для сушки.). Евро, 0,1</t>
  </si>
  <si>
    <t>Томат Богатыри (смесь) (ОГ, ПУ, индет, округ, пл/округ, разн.окраски, 200-300г, салатн.). Евро, 0,2</t>
  </si>
  <si>
    <t>Томат Богач F1 (ХИТ! ОГ, ПУ, дет, кубов-сливовид сл/реб, красн, 90-110г, толстокож, консервн.). Евро, 0,05</t>
  </si>
  <si>
    <t>I0000002007</t>
  </si>
  <si>
    <t>Томат Боярыня F1 (тепл, индет, округ, розов, 200-250г, для соков). Евро, 0,05</t>
  </si>
  <si>
    <t>I0000014025</t>
  </si>
  <si>
    <t>томат Брат 2 F1 о/г (ср.спел.,ОГ/ПУ.,плоскоокр.,сл.ребрист.,180-250 г.,малин.,мясист.,сахарист.,для салат.,соков). Евро, 0,05</t>
  </si>
  <si>
    <t>I0000002008</t>
  </si>
  <si>
    <t>Томат Бумбараш F1 (парн, тепл, индет, округ, ярко-красно-роз, 100-150г, урожайн.). Евро, 0,05</t>
  </si>
  <si>
    <t>I0000000433</t>
  </si>
  <si>
    <t>Томат Буржуин F1 (ОГ, ПУ, дет, округ, красн, 150-180г, плод плотн.). Евро, 0,05</t>
  </si>
  <si>
    <t>Томат Буржуй F1 (ХИТ! ОГ, ПУ, дет, округ сл/реб, красн, до 200г, мясист.). Евро, 0,05</t>
  </si>
  <si>
    <t>I0000015622</t>
  </si>
  <si>
    <t>томат Бусы Страсти з/г (ран.спел., ОГ/ПУ, полудетерм.,овал.,ярк/красн.,20-25 г, сладк., для заморозки, консерв. и в св. виде). Евро, 0,1</t>
  </si>
  <si>
    <t>I0000002009</t>
  </si>
  <si>
    <t>Томат Бутуз (ОГ, ПУ, дет, пл/округ, ало-красн, 200-300г, мясист, для соков). Евро, 0,1</t>
  </si>
  <si>
    <t>I0000016704</t>
  </si>
  <si>
    <t>Томат БыС (розовый авторский, отборный) НОВИНКА. Евро, 0,03</t>
  </si>
  <si>
    <t>I0000016705</t>
  </si>
  <si>
    <t>Томат БыС 2 (Малиновый) НОВИНКА. Евро, 0,03</t>
  </si>
  <si>
    <t>I0000016708</t>
  </si>
  <si>
    <t>Томат БыС 5 (Фиолетово-малиновый, полосатый) НОВИНКА. Евро, 0,03</t>
  </si>
  <si>
    <t>I0000016709</t>
  </si>
  <si>
    <t>Томат БыС 6 (Коричнево-малиновый) НОВИНКА. Евро, 0,03</t>
  </si>
  <si>
    <t>I0000016710</t>
  </si>
  <si>
    <t>Томат БыС 7 (Розовый отборный) НОВИНКА. Евро, 0,03</t>
  </si>
  <si>
    <t>I0000016711</t>
  </si>
  <si>
    <t>Томат БыС 8 (Розовый конический) НОВИНКА. Евро, 0,03</t>
  </si>
  <si>
    <t>Томат Бычье сердце (ОГ, парн, тепл, индет, седцевид, красн, до 600г, салатн, фаворит). Евро, 0,1</t>
  </si>
  <si>
    <t>I0000000629</t>
  </si>
  <si>
    <t>Томат Бычье сердце (золотое) (ОГ, парн, тепл, индет, сердцевид, ярко-роз, 300-600г, мясист.). Евро, 0,1</t>
  </si>
  <si>
    <t>Томат Бычье сердце (красное) (ХИТ! ОГ, парн, тепл, индет, конусовид, красн, 400-600г, салатн.). Евро, 0,1</t>
  </si>
  <si>
    <t>Томат Бычье сердце (красное) (ХИТ! ОГ, парн, тепл, индет, конусовид, красн, 400-600г, салатн.). МФ, 0,1</t>
  </si>
  <si>
    <t>I0000002421</t>
  </si>
  <si>
    <t>Томат Бычье сердце малиновое (ПУ, пар, теп, индет, сердцев сл/реб, малин, 300-600г, салатн.). Евро, 0,1</t>
  </si>
  <si>
    <t>Томат Бычье сердце розовое (ХИТ! ОГ, парн, теп, индет, приплюс-конусов, малин-роз, 400-600г, салатн.). Евро, 0,1</t>
  </si>
  <si>
    <t>Томат Бычье сердце розовое (ХИТ! ОГ, парн, теп, индет, приплюс-конусов, малин-роз, 400-600г, салатн.). МФ, 0,1</t>
  </si>
  <si>
    <t>Томат Валентина (ХИТ! ранний, ОГ, дет, сливовид, красн, 80-120г, консервн.). Евро, 0,1</t>
  </si>
  <si>
    <t>Томат Валя F1 (ранний, ОГ, ПУ, дет, пл/округ сл/реб, ярко-красн, 200-250г, для соков). Евро, 0,05</t>
  </si>
  <si>
    <t>I0000014024</t>
  </si>
  <si>
    <t>томат Вано F1 о/г(ран.спел.,ОГ/ПУ.,плоскоокр.,сл.ребрист.,200-250 г.,ярк-роз.,мясист., исп. в св.виде и переработк.). Евро, 0,05</t>
  </si>
  <si>
    <t>Томат Весна севера F1 (ранний, ОГ, ПУ, дет, пл/округ, розов, 210-350г, высокоурож.). Евро, 0,05</t>
  </si>
  <si>
    <t>Томат Взрыв (ХИТ! ранний, ОГ, ПУ, дет, округ, пл/округ, красн, 120-150г, холодостойк.). Евро, 0,1</t>
  </si>
  <si>
    <t>I0000001548</t>
  </si>
  <si>
    <t>Томат Владимир Великий F1 (ХИТ! тепл, ПУ, индет, пл/окр, насыщ-темн-крас, малин.мяк, 250-350г, сладкий). Евро, 0,03</t>
  </si>
  <si>
    <t>I0000002010</t>
  </si>
  <si>
    <t>Томат Властелин степей F1 (ОГ, ПУ, дет, округ, красн, 200-250г, жаро/засухоуст.). Евро, 0,05</t>
  </si>
  <si>
    <t>Томат Внучкина любовь F1 (ранний, ЗГ, индет, округ, яркр-красн, 20-30г, сладкий). Евро, 0,05</t>
  </si>
  <si>
    <t>Томат Волгоградский 5/95 (ОГ, дет, шт, пл/окр сл/реб, яркр-красн, 90-150г, выс.сод. сахар.). Евро, 0,1</t>
  </si>
  <si>
    <t>Томаты Конфетки с грядки</t>
  </si>
  <si>
    <t>Томат Волшебный каскад F1 (ХИТ! скороспел, парн, тепл, индет, округ, ярко-красн, 18-20г, очень урожайный, сладкий!). Евро, 0,05</t>
  </si>
  <si>
    <t>Томат Вспышка (ХИТ! ультраскороспел, ОГ, ПУ, дет, штамб, округ, красн, 80-120г, урожайн.). Евро, 0,1</t>
  </si>
  <si>
    <t>Томат Вспышка (ХИТ! ультраскороспел, ОГ, ПУ, дет, штамб, округ, красн, 80-120г, урожайн.). МФ, 0,1</t>
  </si>
  <si>
    <t>Томат Гелена F1 (скороспел, ОГ, ПУ, дет, пл/округ сл/реб, интенс-красн, 110-120г, траспортабельн.). Евро, 0,05</t>
  </si>
  <si>
    <t>Томат Гея (ранний, ОГ, ПУ, дет, пл/округ, красн, 130-150г, уст. к перепад. температ.). Евро, 0,2</t>
  </si>
  <si>
    <t>I0000001458</t>
  </si>
  <si>
    <t>Томат Гигант лимонный (ОГ, тепл, индет, пл/округ, лимон-жёлт, 250-400г, для диет. питания). Евро, 0,1</t>
  </si>
  <si>
    <t>I0000002011</t>
  </si>
  <si>
    <t>Томат Грот (ранний, ОГ, ПУ, дет, округ, красн, 60-80г, холодостойк.). Евро, 0,1</t>
  </si>
  <si>
    <t>Томат Грунтовый Грибовский 1180 (ранний, ОГ, ПУ, дет, окр, пл/окр, красн, 60-120г, неприхотл.). Евро, 0,1</t>
  </si>
  <si>
    <t>I0000002103</t>
  </si>
  <si>
    <t>Томат Грунтовый жароустойчивый (ОГ, дет, шт, пл/окр сл/реб, ярко-крас, 80-100г, плотн.). Евро, 0,1</t>
  </si>
  <si>
    <t>I0000001462</t>
  </si>
  <si>
    <t>Томат Груша гигантская (парн, тепл, индет, куб-грушевид, ребр, крас, 200-300г, мясист.). Евро, 0,1</t>
  </si>
  <si>
    <t>I0000001460</t>
  </si>
  <si>
    <t>Томат Груша красная (тепл, ПУ, индет, грушевид, красн, 50-80г, цельнопл. консерв.). Евро, 0,1</t>
  </si>
  <si>
    <t>Томат Грушка консервная (ранний, ОГ, ПУ, дет, грушевид сл/реб, красн, 50-70г, цельнопл. консерв.). Евро, 0,1</t>
  </si>
  <si>
    <t>I0000012785</t>
  </si>
  <si>
    <t>томат Грушка консервная золотая з/г (ран.спел.,ЗГ/ПУ.,грушевидн.,20-30 г.,сладк.,зол-желт.,для салат.,консервир.). Евро, 0,1</t>
  </si>
  <si>
    <t>I0000002195</t>
  </si>
  <si>
    <t>Томат Грушка медовая (ранний, парн, тепл, индет, грушевид, жёлт, 25-30г, плотный, консерв.). Евро, 0,1</t>
  </si>
  <si>
    <t>Томат Данна (скороспел, ОГ, ПУ, дет, пл/округ, красн, 200-250г, урожайн.). Евро, 0,1</t>
  </si>
  <si>
    <t>Томат Дарья F1 (ранний, ОГ, ПУ, дет, округ, ярко-красн, 70-120г, высок. содерж. сахар.). Евро, 0,1</t>
  </si>
  <si>
    <t>Томат Дачник СеДеК (ХИТ! скороспел, ОГ, ПУ, дет, шт, пл/округ, красн, 130-180г, плодоносн.). Евро, 0,1</t>
  </si>
  <si>
    <t>Томат Дачник СеДеК (ХИТ! скороспел, ОГ, ПУ, дет, шт, пл/округ, красн, 130-180г, плодоносн.). МФ, 0,1</t>
  </si>
  <si>
    <t>Томат Дачный любимец (ранний, ОГ, ПУ, дет, пл/округ сл/реб, красн, 200-300г, высококачеств.). Евро, 0,1</t>
  </si>
  <si>
    <t>Томат Дашенька (скороспел, ОГ, ПУ, дет, штамб, округ, красн, 80-100г, холодостойк.). Евро, 0,1</t>
  </si>
  <si>
    <t>Томат Де Барао жёлтый (ОГ, тепл, индет, овальн, жёлт, 70-85г, холодост.). Евро, 0,1</t>
  </si>
  <si>
    <t>I0000003182</t>
  </si>
  <si>
    <t>Томат Де Барао (тепл, ПУ, индет, овальн, красн, 60-70г, плотн. кож, холодост.). Евро, 0,1</t>
  </si>
  <si>
    <t>Томат Де Барао красный (ХИТ! ОГ, тепл, индет, овальн, красн, 50-70г, холодост.). Евро, 0,1</t>
  </si>
  <si>
    <t>Томат Де Барао розовый (ХИТ! ОГ, тепл, индет, овальн, насыщ-роз, 60-90г, холодост.). Евро, 0,1</t>
  </si>
  <si>
    <t>Томат Де Барао розовый (ХИТ! ОГ, тепл, индет, овальн, насыщ-роз, 60-90г, холодост.). МФ, 0,1</t>
  </si>
  <si>
    <t>Томат Де Барао чёрный (ОГ, тепл, индет, овальн, тёмн-вишн. до чёрн, 50-70г, холодст.). Евро, 0,1</t>
  </si>
  <si>
    <t>Томат Деликатес (ОГ, дет, пл/округ, интенс-красн, 85-90г, высокоурож.). Евро, 0,1</t>
  </si>
  <si>
    <t>Томат Детская радость F1 (ХИТ! ранний, ЗГ, индет, округ, красн, 20-30г, высок.сод. сахара.). Евро, 0,05</t>
  </si>
  <si>
    <t>Томат Детские пальчики F1 (тепл, ПУ, индет, удл-цил с нос, ярк-крас, 80-100г, конс. в соб. соку.). Евро, 0,1</t>
  </si>
  <si>
    <t>Томат Джина (ХИТ! ранний, ОГ, ПУ, дет, округ, оранж-красн, до 350г, универсал.). Евро, 0,1</t>
  </si>
  <si>
    <t>Томат Джина (ХИТ! ранний, ОГ, ПУ, дет, округ, оранж-красн, до 350г, универсал.). МФ, 0,1</t>
  </si>
  <si>
    <t>Томат Дикая роза (ранний, ОГ, тепл, индет, окр, пл/окр, малин, 350-500г, сахарист, салатн.). Евро, 0,1</t>
  </si>
  <si>
    <t>Томат Дина (ОГ, ПУ, дет, округ, оранж, до 300г, высок.сод. каротина.). Евро, 0,1</t>
  </si>
  <si>
    <t>I0000012735</t>
  </si>
  <si>
    <t>Томат Дмитрий Великий F1 (ранний, теп, ПУ, индет, окр-плоск, сердцев с нос, красн, 250-400г, сахарн, слад.). Евро, 0,03</t>
  </si>
  <si>
    <t>Томат Дон Жуан (ХИТ! ранний, ОГ, ПУ, дет, удл. с нос, ярк-малин. с жёлт. полос, 70-80г, цельнопл. конс). Евро, 0,1</t>
  </si>
  <si>
    <t>Томат Дон Жуан (ХИТ! ранний, ОГ, ПУ, дет, удл. с нос, ярк-малин. с жёлт. полос, 70-80г, цельнопл. конс). МФ, 0,1</t>
  </si>
  <si>
    <t>Томат Дон Кихот F1 (парн, тепл, индет, куб-перцевид, насыщ-жёлт, 80-120г, для фарширов.). Евро, 0,05</t>
  </si>
  <si>
    <t>Томат Дочка F1 (ОГ, ПУ, индет, округ, ярко-роз, до 450г, для высокоурож.). Евро, 0,1</t>
  </si>
  <si>
    <t>Томат Дубок (ХИТ! ранний, ОГ, ПУ, дет, округ, пл/окр, ярко-красн, 150-200г, универсальн, фаворит). Евро, 0,1</t>
  </si>
  <si>
    <t>Томат Душечка F1 (ОГ, ПУ, дет, округ. сл/реб, инт-красн, 200-250г, универсальн.). Евро, 0,05</t>
  </si>
  <si>
    <t>I0000002012</t>
  </si>
  <si>
    <t>Томат Ёжик (ОГ, ПУ, дет, овал, красн, до 80г, консервн.). Евро, 0,1</t>
  </si>
  <si>
    <t>I0000002013</t>
  </si>
  <si>
    <t>Томат Екатерина F1 (ЗГ, индет, округ, красн, 110-140г, плотн, толстостен.). Евро, 0,03</t>
  </si>
  <si>
    <t>I0000001549</t>
  </si>
  <si>
    <t>Томат Екатерина Великая F1 (ХИТ! ЗГ, индет, округ, ярко-красн, 250-350г, для зимн. теплиц). Евро, 0,03</t>
  </si>
  <si>
    <t>томат Елизавета F1®   ( ОГ.ПУ, дет, пл/округ, ярко-красн, 150-250г. плотн. толстокож.). Евро, 0,05</t>
  </si>
  <si>
    <t>I0000002229</t>
  </si>
  <si>
    <t>Томат Жадина F1 (ОГ, ПУ, дет, округ, розов, 180-250г, для соков). Евро, 0,05</t>
  </si>
  <si>
    <t>Томат Жар-птица F1 (ранний, ОГ, тепл, дет, пл/округ, оранж, до 250г, салат, холодост.). Евро, 0,05</t>
  </si>
  <si>
    <t>Томат Железная леди F1 (ХИТ! ОГ, ПУ, дет, сливовид, красн, 80-100г, для цельнопл. конс.). Евро, 0,05</t>
  </si>
  <si>
    <t>Томат Жёлтый гигант (ХИТ! тепл, ПУ, индет, окр, пл/окр, ярко-желт, до 350г, салатн.). Евро, 0,1</t>
  </si>
  <si>
    <t>Томат Жемчужина красная (ХИТ! скороспел, ОГ, дет, штамб, округ, красн, 15-20г, консерв, декор.). Евро, 0,1</t>
  </si>
  <si>
    <t>I0000012789</t>
  </si>
  <si>
    <t>томат Жемчужина Малиновая о/г (скороспел,окр/овал., малин., 15-20г, в св.виде, марин.,сушки, вялен..). Евро, 0,2</t>
  </si>
  <si>
    <t>I0000002014</t>
  </si>
  <si>
    <t>Томат Жёнушка F1 (тепл, пар, ПУ, индет, пл/округ, красн, 140-170г, урож, лёжкий). Евро, 0,03</t>
  </si>
  <si>
    <t>Томат Жираф (парн, ПУ, индет, округ, желт-оранж, 80-100г, долго хранится). Евро, 0,1</t>
  </si>
  <si>
    <t>Томат Жираф (парн, ПУ, индет, округ, желт-оранж, 80-100г, долго хранится). МФ, 0,1</t>
  </si>
  <si>
    <t>Томат Жирдяй F1 (ХИТ! ОГ, тепл, дет, окр, пл/окр, красн, 200-300г, товарн, длит. хран.). Евро, 0,05</t>
  </si>
  <si>
    <t>I0000002230</t>
  </si>
  <si>
    <t>Томат Жиртрест F1 (теп, ПУ, индет, пл/округ сил/ребр, красн, 180-250г, урож, неприхот.). Евро, 0,1</t>
  </si>
  <si>
    <t>Томат Загадка (ультраск/спел, ОГ, ПУ, дет, круг, красн, 80-100г, неприхот, урож.). Евро, 0,1</t>
  </si>
  <si>
    <t>Томат Зарево F1 (ранний, ОГ, ПУ, дет, округ, розов, 150-170г, урожайн.). Евро, 0,05</t>
  </si>
  <si>
    <t>Томат Засолочный грунтовый (ОГ, ПУ, дет, овал, ярко-красн, 80-100г, плотн.). Евро, 0,1</t>
  </si>
  <si>
    <t>I0000015584</t>
  </si>
  <si>
    <t>томат Звездная Галактика з/г . Евро, 0,1</t>
  </si>
  <si>
    <t>Томат Золотая Андромеда F1 (ранний, ОГ, ПУ, дет, пл/округ сл/реб, оранж, 65-100г, для соков). Евро, 0,05</t>
  </si>
  <si>
    <t>Томат Золотая кисть (очень ран, тепл, ПУ, индет, грушевид, золот-желт, 20-30г, красив. кисти). Евро, 0,2</t>
  </si>
  <si>
    <t>Томат Золотая кисть (очень ран, тепл, ПУ, индет, грушевид, золот-желт, 20-30г, красив. кисти). МФ, 0,2</t>
  </si>
  <si>
    <t>Томат Золотая рыбка (ОГ, тепл, индет, цилиндр с нос, ярко-желт-оранж, 90-120г, оригинал.). Евро, 0,1</t>
  </si>
  <si>
    <t>Томат Золотая рыбка (ОГ, тепл, индет, цилиндр с нос, ярко-желт-оранж, 90-120г, оригинал.). МФ, 0,1</t>
  </si>
  <si>
    <t>Томат Золотое сердце (ультраск/спел, ОГ, ПУ, дет, удл-сердцевид, с носиком, золот-оранж, 80-100г, универс.). Евро, 0,1</t>
  </si>
  <si>
    <t>Томат Золотой (ХИТ! ранний, ОГ, ПУ, дет, округ, лимон-желт, 180-200г, вкусн, салатн.). Евро, 0,1</t>
  </si>
  <si>
    <t>Томат Золотые колокола F1 (пар, теп, индет, кубовид-перцевид. сил/реб, ярко-желт, 80-110г, для фарш-ки.). Евро, 0,05</t>
  </si>
  <si>
    <t>I0000003120</t>
  </si>
  <si>
    <t>Томат Иван Грозный F1 (теп, ПУ, полудет, пл/округ реб, ярко-красн, 200-30г, очень вкусн.). Евро, 0,03</t>
  </si>
  <si>
    <t>I0000001473</t>
  </si>
  <si>
    <t>Томат Иван Царевич F1 (теп, пар, ПУ, индет, пл/окр сл/реб, крас, 150-200г, высокотов.). Евро, 0,1</t>
  </si>
  <si>
    <t>Томат Иваныч F1 (ранний, ОГ, тепл, дет, пл/окр сл/реб, малин, 150-200г, плотн, мясистый). Евро, 0,1</t>
  </si>
  <si>
    <t>I0000002015</t>
  </si>
  <si>
    <t>Томат Идальго F1 (ХИТ! ОГ, ПУ, дет, удл-цилинд, красн, 100-120г, для цельнопл. консерв.). Евро, 0,05</t>
  </si>
  <si>
    <t>I0000001724</t>
  </si>
  <si>
    <t>Томат Идальго сахарный F1 (ОГ, ПУ, дет, цилинд с нос, желт, 70-90г, Куст с плод - шедевр). Евро, 0,05</t>
  </si>
  <si>
    <t>I0000001476</t>
  </si>
  <si>
    <t>Томат Изумрудное яблоко (ОГ, тепл индет, пл/окр, изумруд-зелен с желт оттен, 250-300г, вкусн.). Евро, 0,1</t>
  </si>
  <si>
    <t>Томат Изюм F1 (ранний, тепл, ПУ, дет, сливовид, розов, 20-30г, для цельнопл. консерв.). Евро, 0,05</t>
  </si>
  <si>
    <t>Томаты Царские</t>
  </si>
  <si>
    <t>Томат Император F1 (тепл, ПУ, индет, цилинд, ярко-красн, 90-120г, кистевой, консерн.). Евро, 0,05</t>
  </si>
  <si>
    <t>Томат Императрица F1 (ХИТ! тепл, ПУ, индет, овал с нос, ярко-красн, 90-100г, ровн, плотн., консерн.). Евро, 0,05</t>
  </si>
  <si>
    <t>Томат Империя F1 (ЗГ, индет, удл-овал с нос, красн, до 140г, товарн, консерв.). Евро, 0,05</t>
  </si>
  <si>
    <t>I0000012601</t>
  </si>
  <si>
    <t>Томат Империя розовая F1 (ранний, теп, ПУ, индет, сливовид, розов, 80-110г, для цел/пл. консерв.). Евро, 0,05</t>
  </si>
  <si>
    <t>Томат Ирина F1 (ХИТ! ранний, ОГ, ПУ, дет, пл/округ, красн, 110-120г, плотн, мясист.). Евро, 0,05</t>
  </si>
  <si>
    <t>Томат Ирина СеДеК (ХИТ! очень ран, ОГ, ПУ, дет, пл/округ, красн, 140-160г, холодост, универсал.). Евро, 0,1</t>
  </si>
  <si>
    <t>Томат Ирина СеДеК (ХИТ! очень ран, ОГ, ПУ, дет, пл/округ, красн, 140-160г, холодост, универсал.). МФ, 0,1</t>
  </si>
  <si>
    <t>I0000016467</t>
  </si>
  <si>
    <t>Томат Иришка F1 (ранний, ОГ, ПУ, дет, округ, красн, 80-100г, засухо-жароуст, салатн.). Евро, 0,05</t>
  </si>
  <si>
    <t>Томат Июньский (ХИТ! ранний, ОГ, ПУ, дет, штамб, округ, красн, 40-60г, быстро форм. урожай). Евро, 0,2</t>
  </si>
  <si>
    <t>Томат Июньский (ХИТ! ранний, ОГ, ПУ, дет, штамб, округ, красн, 40-60г, быстро форм. урожай). МФ, 0,2</t>
  </si>
  <si>
    <t>Томат Карамель жёлтая F1 (ранний, ЗГ, индет, сливовид, желт, 30-40г, на кисти до 50пл.). Евро, 0,1</t>
  </si>
  <si>
    <t>Томат Карамель жёлтая F1 (ранний, ЗГ, индет, сливовид, желт, 30-40г, на кисти до 50пл.). МФ, 0,1</t>
  </si>
  <si>
    <t>Томат Карамель красная F1 (ХИТ! ранний, ЗГ, индет, округ, красн, 25-30г, на кисти до 50пл.). Евро, 0,1</t>
  </si>
  <si>
    <t>Томат Карамель красная F1 (ХИТ! ранний, ЗГ, индет, округ, красн, 25-30г, на кисти до 50пл.). МФ, 0,1</t>
  </si>
  <si>
    <t>I0000001954</t>
  </si>
  <si>
    <t>Томат Карамель медовая F1 (ранний, ОГ, ПУ, дет, овал, ярко-оранж, 25-40г, плот, кистевой, оч.вкусный). Евро, 0,05</t>
  </si>
  <si>
    <t>I0000001484</t>
  </si>
  <si>
    <t>Томат Карамель оранжевая F1 (ранний, тепл, ПУ, дет, округ-овал, ярк-оранж, 30-40г, кистевой, оч.вкусный). Евро, 0,05</t>
  </si>
  <si>
    <t>I0000002016</t>
  </si>
  <si>
    <t>Томат Каспар «Король консервации» F1 (ХИТ! ран/сп, ОГ, ПУ, дет, удл-перцевид-цилиндр с нос, красн, 120-140г, плотн.). Евро, 0,05</t>
  </si>
  <si>
    <t>I0000001482</t>
  </si>
  <si>
    <t>Томат Каспар 2 «Король консервации» F1 (ХИТ! ОГ, ПУ, дет, удл-цилин, красн, 120-130г, консерн.). Евро, 0,05</t>
  </si>
  <si>
    <t>I0000012603</t>
  </si>
  <si>
    <t>Томат Каспар полосатый F1 (ОГ, ПУ, дет, перцевид, красно-оранж с желт полос, 120-130г, для фаршир.). Евро, 0,1</t>
  </si>
  <si>
    <t>Томат Катенька F1 (ОГ, ПУ, дет, окр-сливовид, красн, 60-80г, товарн, консерв.). Евро, 0,05</t>
  </si>
  <si>
    <t>Томат Китайский ранний (ранний, ОГ, ПУ, дет, пл/округ, красн, 70-110г, неприхолив.). Евро, 0,2</t>
  </si>
  <si>
    <t>Томат Китайский розовый (ранний, тепл, ПУ, индет, пл/округ, розов, 500-700г, салатн, урожайн.). Евро, 0,1</t>
  </si>
  <si>
    <t>I0000001558</t>
  </si>
  <si>
    <t>Томат Князь F1 (тепл, ПУ, индет, округ, красн, 150-190г, жаро-засухоуст.). Евро, 0,03</t>
  </si>
  <si>
    <t>Томат Колокола России (ранний, ОГ, ПУ, дет, овал-грушевид, роз-красн, 50-60г, консерв, засол.). Евро, 0,1</t>
  </si>
  <si>
    <t>I0000015492</t>
  </si>
  <si>
    <t>томат Королевна F1 о/г(ср.спел.,теп, ПУ, дет, цилин, ярк-желт, 70-90г, в св.виде,для перераб.). Евро, 0,1</t>
  </si>
  <si>
    <t>I0000012788</t>
  </si>
  <si>
    <t>Томат Королевские пальчики F1 (теп, ПУ, индет, цилин, ярк-крас, 60-80г, консерв, засол.). Евро, 0,1</t>
  </si>
  <si>
    <t>I0000001483</t>
  </si>
  <si>
    <t>Томат Король крупных (теп, ПУ, индет, пл/окр, красн-малин, 400-600г, рекорд. плод до 1кг.). Евро, 0,1</t>
  </si>
  <si>
    <t>Томат Космонавт Волков (ОГ, тепл, индет, пл/окр, красн, до 600г, мясист, салатн.). Евро, 0,1</t>
  </si>
  <si>
    <t>Томат Крайний север СеДеК (ХИТ! ран/сп, ОГ, ПУ, дет, шт, окр, красн, 60-70г, выращ. безрассад. способ.). Евро, 0,1</t>
  </si>
  <si>
    <t>Томат Краса грядки (скороспел, ОГ, дет, пл/окр сл/реб, красн, 100-150г, ранний урож.). Евро, 0,1</t>
  </si>
  <si>
    <t>Томат Красавец мясистый (ранний, ПУ, индет, пл/округ, розов, 250-300г, салатн.). Евро, 0,1</t>
  </si>
  <si>
    <t>Томат Красавица Москвы (скороспел, ОГ, ПУ, дет, цилиндр, ярк-оранж, 80-90г, высок.сод. кротина). Евро, 0,1</t>
  </si>
  <si>
    <t>Томат Красно солнышко F1 (ранний, ОГ, ПУ, дет, округ, красн, 130-150г, высокопродуктивн.). Евро, 0,05</t>
  </si>
  <si>
    <t>Томат Красный великан (ПУ, индет, пл/округ, красн, до 500г, салатный.). Евро, 0,1</t>
  </si>
  <si>
    <t>Томат Красный мясистый (ЗГ, ПУ, полудет, пл/окр, насыщ-крас, до 300г, лучш.для овощ.диет). Евро, 0,1</t>
  </si>
  <si>
    <t>I0000012738</t>
  </si>
  <si>
    <t>Томат Красный чемпион F1 (ран/сп, теп, ПУ, индет, окр-сердцев с нос, красн, 170-250г, част.распол.кистей). Евро, 0,03</t>
  </si>
  <si>
    <t>Томат Красотка F1 (ранний, ОГ, ПУ, дет, пл/округ, розов-малин, до 200г, универсал.). Евро, 0,05</t>
  </si>
  <si>
    <t>Томат Кривянский F1 (ранний, ОГ, ПУ, дет, округ с нос, красн, 150-190г, плотн, универсал.). Евро, 0,05</t>
  </si>
  <si>
    <t>Томат Крупный красный (ПУ, индет, пл/окр, сл/реб, красн, до 300г, мякоть сочн. арбузн.). Евро, 0,1</t>
  </si>
  <si>
    <t>Томат Крупный розовый (теп, ПУ, индет, пл/окр, розов, 200-300г, многокамерн.). Евро, 0,1</t>
  </si>
  <si>
    <t>Томат Ксения F1 (ранний, ОГ, ПУ, дет, пл/окр, ярко-красн, 130-150г, салатн.). Евро, 0,1</t>
  </si>
  <si>
    <t>Томат Ксюша F1 (ранний, ОГ, ПУ, дет, округ, насыщ-красн, 120-150г, неприхотл.). Евро, 0,05</t>
  </si>
  <si>
    <t>Томат Кукла F1 (ХИТ! очень ран, ОГ, ПУ, дет, округ, розов, до 400г, высокоурож.). Евро, 0,1</t>
  </si>
  <si>
    <t>I0000002017</t>
  </si>
  <si>
    <t>Томат Кукла Даша F1 (ОГ, ПУ, дет, округ, розов, 160-230г, товарн, для соков). Евро, 0,05</t>
  </si>
  <si>
    <t>Томат Кукла Маша F1 (ХИТ! ранний, ОГ, ПУ, дет, пл/окр сл/реб, ярк-розов, 200-260г, очень сладк.). Евро, 0,05</t>
  </si>
  <si>
    <t>Томат Купидон F1 (скороспел, ОГ, ПУ, дет, пл/округ, густ-крас, 75-110г, высокоурож.). Евро, 0,05</t>
  </si>
  <si>
    <t>Томат Купчиха F1 (ХИТ! ранний, ОГ, тепл, дет, окр, пл/окр сл/реб, красн, 200-250г, высокоурож.). Евро, 0,05</t>
  </si>
  <si>
    <t>Томат Лариса F1 (ОГ, ПУ, дет, удл-цилинд с нос, красн, 80-100г, плотн, для замороз.). Евро, 0,05</t>
  </si>
  <si>
    <t>Томат Ласка F1 (ранний, ОГ, ПУ, дет, сливовид, ярко-красн, 60-70г, для засола и консерв.). Евро, 0,05</t>
  </si>
  <si>
    <t>Томат Лёжкий (ОГ, ПУ, дет, пл/округ, ярк-крас-оранж, 100-120г, хран. до Нов.года.). Евро, 0,1</t>
  </si>
  <si>
    <t>Томат Лиза (ранний, ОГ. ПУ, дет, кубовид, оранж-красн, неприхотлив, идеален для консервир.). Евро, 0,2</t>
  </si>
  <si>
    <t>I0000002333</t>
  </si>
  <si>
    <t>Томат Лимон лиана (ХИТ! тепл, ПУ, индет, форма лимона, ярко-желт, 80-100г, до 50 плод. в кисти). Евро, 0,1</t>
  </si>
  <si>
    <t>I0000002018</t>
  </si>
  <si>
    <t>Томат Лучший СеДеК F1 (ОГ, ПУ, полудет, окр, окр-седцевид, розов, 150-250г, товарн.). Евро, 0,05</t>
  </si>
  <si>
    <t>Томат Любительский розовый (ранний, ОГ, тепл, индет, пл/округ, роз-малин, 500-700г, салатн.). Евро, 0,1</t>
  </si>
  <si>
    <t>Томат Любовь F1 (ранний, о-ЗГ, дет, округ, красн, 200-250г, продолжит. плодонош.). Евро, 0,05</t>
  </si>
  <si>
    <t>I0000002203</t>
  </si>
  <si>
    <t>Томат Любовь Токио F1 (теп, ПУ, индет, сливовид, оранж, 30-40 г, выс.сод. сахар.). Евро, 0,03</t>
  </si>
  <si>
    <t>Томат Ляна розовая (ультраскороспел, ОГ, ПУ, дет, округ, розов, 80-100г, плоды не растреск-ся). Евро, 0,1</t>
  </si>
  <si>
    <t>Томат Мажор F1 (ХИТ! ОГ, ПУ, индет, округ, малин, до 300г, лучший по вкусу). Евро, 0,05</t>
  </si>
  <si>
    <t>Томат Малиновая кубышка (ОГ, ПУ, дет, пл/окр, светл-малин, до 200г, салат, высокоурож.). Евро, 0,1</t>
  </si>
  <si>
    <t>Томат Малиновый гигант (ХИТ! ранний, ОГ, ПУ, дет, пл/округ, малин, до 500г, салатн, для диет.пит.). Евро, 0,1</t>
  </si>
  <si>
    <t>Томат Малиновый гигант (ХИТ! ранний, ОГ, ПУ, дет, пл/округ, малин, до 500г, салатн, для диет.пит.). МФ, 0,1</t>
  </si>
  <si>
    <t>Томат Малиновый деликатес F1 (теп, ПУ, индет, округ, ярк-розов, до 300г, отличн. вкус). Евро, 0,1</t>
  </si>
  <si>
    <t>Томат Малиновый звон F1 (ранний, ОГ, ПУ, дет, округ, малин, 150-200г, отличн. вкус). Евро, 0,05</t>
  </si>
  <si>
    <t>Томат Малиновый мясистый (ХИТ! ОГ, теп, пар, индет, пл/окр, малин, 200-300г, мясистый). Евро, 0,1</t>
  </si>
  <si>
    <t>I0000016469</t>
  </si>
  <si>
    <t>I0000000009</t>
  </si>
  <si>
    <t>Томат Малиновый ранний (ранний, ОГ, ПУ, дет, пл/округ, малин, 150-250г, салатн, холодост.). Евро, 0,1</t>
  </si>
  <si>
    <t>Томат Малиновый цвет (ранний, ОГ, ПУ, дет, штамб, пл/округ, малин, 100-120г, сахарн, салатн.). Евро, 0,1</t>
  </si>
  <si>
    <t>I0000002019</t>
  </si>
  <si>
    <t>Томат Мальчик-с-пальчик (ультраск/сп, ОГ, ПУ, дет, шт, округ, красн, до 60г, повыш.сод. ликопина). Евро, 0,1</t>
  </si>
  <si>
    <t>I0000001490</t>
  </si>
  <si>
    <t>Томат Маменькина дочка F1 (сред/сп, о-ЗГ, индет, пл/округ, ярк-крас, до 200г, плотн, длит.хран.). Евро, 0,05</t>
  </si>
  <si>
    <t>Томат Мамуля F1 (ранний, ОГ, ПУ, дет, округ, красн, 65-85г, дружн. созреван.). Евро, 0,1</t>
  </si>
  <si>
    <t>Томат Марс улучшенный F1 (ранний, ОГ, дет, пл/округ, красн, 60-80г, урожайн, консервн.). Евро, 0,05</t>
  </si>
  <si>
    <t>Томат Маруся (ОГ, ПУ, дет, сливовид, красн, 60-80г, плотн, для засола и консерв.). Евро, 0,1</t>
  </si>
  <si>
    <t>I0000000007</t>
  </si>
  <si>
    <t>Томат Медвежонок F1 (ХИТ! ПУ, теп, индет, пл/окр, ребристый, ярко-красн, 180-250г, для соков). Евро, 0,1</t>
  </si>
  <si>
    <t>I0000015493</t>
  </si>
  <si>
    <t>томат Медвежье Сердце з/г (ср.спел.,ОГ/ПУ, ,полудет, сердцев., кр/коричн., до 600 г, для салатов, соусов, пасты). Евро, 0,1</t>
  </si>
  <si>
    <t>Томат Медовая гроздь (ХИТ! ран, ОГ, ПУ, дет, штамб, округ, желт, 30-50г, холодост, консервн.). Евро, 0,1</t>
  </si>
  <si>
    <t>Томат Медовая конфетка F1 (ХИТ! теп, ПУ, дет, удл-овал, ярко-желт, 30-40г, сладк, для сушки, оч.сладк). Евро, 0,05</t>
  </si>
  <si>
    <t>I0000015195</t>
  </si>
  <si>
    <t>томат Медовик з/г  (ран.спел.,ОГ/ ПУ,плоскоокр, оранж., 150-200 г, сочн., в св.виде и для переработк.)). Евро, 0,05</t>
  </si>
  <si>
    <t>I0000000630</t>
  </si>
  <si>
    <t>Томат Медовый (ОГ, ПУ, теп, индет, пл/округ, малин, 300-400г, салатный). Евро, 0,1</t>
  </si>
  <si>
    <t>Томат Мечта любителя (ранний, ОГ, индет, пл/округ, красн, 250-300г, уст. к перепад. температ.). Евро, 0,1</t>
  </si>
  <si>
    <t>Томат Мечта огородника (ХИТ! ран, ПУ, дет, окр, пл/окр, темн-красн, 140-180г, высок. сод. витаминов). Евро, 0,2</t>
  </si>
  <si>
    <t>Томат Мечта огородника (ХИТ! ран, ПУ, дет, окр, пл/окр, темн-красн, 140-180г, высок. сод. витаминов). Евро, 0,1</t>
  </si>
  <si>
    <t>I0000015184</t>
  </si>
  <si>
    <t>томат Микадо Коричневый з/г(ран.спел.,ЗГ/ПУ.,плоскоокр.,200-300 г.,кр.-коричн.,мясист.,сладк.,для салат.,соков). Евро, 0,1</t>
  </si>
  <si>
    <t>Томат Микадо розовый (ранний, теп, ПУ, индет, пл/округ, розов, 200-300г, рекорд. плод 940г). Евро, 0,1</t>
  </si>
  <si>
    <t>I0000015582</t>
  </si>
  <si>
    <t>томат Микадо Шоколадный з/г (ран.спел.,ПУ/тепл., ,индет, плоскоокр., коричн., для салатов, соков, пасты). Евро, 0,05</t>
  </si>
  <si>
    <t>Томат Милашка (ультраск/спел, ОГ, ПУ, дет, округ, ярко-красн, 40-50г, холодост, неприхотл.). Евро, 0,2</t>
  </si>
  <si>
    <t>Томат Минибел (ХИТ! скороспел, ОГ, ПУ, дет, округ, красн, 65-85г, куст усыпан плодами). Евро, 0,1</t>
  </si>
  <si>
    <t>Томат Минибел (ХИТ! скороспел, ОГ, ПУ, дет, округ, красн, 65-85г, куст усыпан плодами). МФ, 0,1</t>
  </si>
  <si>
    <t>Томат Миниголд (ХИТ! сред/ран, ОГ, ПУ, дет, округ, желт, до 30г, куст усыпан плодами). Евро, 0,1</t>
  </si>
  <si>
    <t>Томат Михей F1 (ранний, ОГ, ПУ, супердет, округ сл/реб, интенс-крас, до 180г). Евро, 0,05</t>
  </si>
  <si>
    <t>Томат Мона Лиза F1 (ранний, ОГ, ПУ, полудет, пл/окр, красн, до 250г, салатн, с арбуз. мякотью.). Евро, 0,2</t>
  </si>
  <si>
    <t>Томат Мона Лиза F1 (ранний, ОГ, ПУ, полудет, пл/окр, красн, до 250г, салатн, с арбуз. мякотью.). МФ, 0,2</t>
  </si>
  <si>
    <t>I0000001500</t>
  </si>
  <si>
    <t>Томат Морковный (ран/сп, ОГ, ПУ, дет, пл/окр сл/реб, оранж-крас, 100-150г, соч. плод, красив.лист). Евро, 0,1</t>
  </si>
  <si>
    <t>Томат Москвич (ранний, ОГ, ПУ, дет, шт, округ, красн, до 80-120г, холодост, универсал.). Евро, 0,1</t>
  </si>
  <si>
    <t>Томат Москвич (ранний, ОГ, ПУ, дет, шт, округ, красн, до 80-120г, холодост, универсал.). МФ, 0,1</t>
  </si>
  <si>
    <t>томат Московский Скороспелый   о/г(ран.спел.,ОГ/ПУ.,плоскоокр., до 250 г.,красн.,для салат.,консерв.). Евро, 0,1</t>
  </si>
  <si>
    <t>Томат Моя радость F1 (скороспел, ОГ, тепл, дет, округ, интенс-красн, до 270г, урож, универсал.). Евро, 0,05</t>
  </si>
  <si>
    <t>Томат Муженёк F1 (ХИТ! ЗГ, тепл, индет, округ, красн, 140-180г, урожайн, товарн.). Евро, 0,03</t>
  </si>
  <si>
    <t>Томат Надежда F1 (ранний, ОГ, ПУ, дет, пл/округ, красн, 70-100г, плотный, сладкий). Евро, 0,05</t>
  </si>
  <si>
    <t>Томат Настя-сластёна F1 (ХИТ! ранний, ПУ, тепл, индет, овал, ярко-красн, 70-100г, оч.сладкий). Евро, 0,02</t>
  </si>
  <si>
    <t>Томат Наташенька F1 (ХИТ! ЗГ, индет, цилиндр, желт-оранж, 30-40г, плотн, урожайн, оч.сладкий). Евро, 0,05</t>
  </si>
  <si>
    <t>Томат Невестушка F1 (ранний, ОГ, ПУ, дет, пл/окр сл/реб, красн, 150-200г, отличн. вкус, холодост.). Евро, 0,05</t>
  </si>
  <si>
    <t>I0000002626</t>
  </si>
  <si>
    <t>Томаты Непас</t>
  </si>
  <si>
    <t>Томат Непас (Непасынкующийся) (ХИТ! скороспел, ОГ, ПУ, дет, пл/округ, красн, 50-80г, неприхотлив.). Евро, 0,1</t>
  </si>
  <si>
    <t>I0000002627</t>
  </si>
  <si>
    <t>Томат Непас 2 (Непасынкующийся малиновый) (ХИТ! ОГ, ПУ, дет, округ, красно-малин, 75-100г, неприхотл, урож.). Евро, 0,1</t>
  </si>
  <si>
    <t>I0000002628</t>
  </si>
  <si>
    <t>Томат Непас 3 (Непасынкующийся розовый) (ран/сп, ОГ, ПУ, дет, шт, округ, роз-малин, 110-140г, мясистый). Евро, 0,1</t>
  </si>
  <si>
    <t>I0000002629</t>
  </si>
  <si>
    <t>Томат Непас 4 (Непасынкующийся оранжевый сердцевидный) (ХИТ! ранний, ОГ, ПУ, дет, штамб, округ с нос, ярко-оранж, 60-70г, плотн, урож.). Евро, 0,1</t>
  </si>
  <si>
    <t>I0000002630</t>
  </si>
  <si>
    <t>Томат Непас 5 (Непасынкующийся оранжевый с носиком) (ХИТ! ОГ, ПУ, дет, шт, цилинд с нос, сл/реб, оранж, 60-80г, плотн, урож.). Евро, 0,1</t>
  </si>
  <si>
    <t>I0000002631</t>
  </si>
  <si>
    <t>Томат Непас 6 (Непасынкующийся красный с носиком F1) (ХИТ! ОГ, ПУ, дет, шт, овал с нос, ярко-красн, 70-90г, жарост, плодоносн.). Евро, 0,1</t>
  </si>
  <si>
    <t>I0000002632</t>
  </si>
  <si>
    <t>Томат Непас 7 (Непасынкующийся гигантский) (ХИТ! ОГ, ПУ, дет, шт, окр, красн, 150-200г, длит.плодонос). Евро, 0,1</t>
  </si>
  <si>
    <t>I0000002633</t>
  </si>
  <si>
    <t>Томат Непас 8 (Непасынкующийся морковный) (ХИТ! ОГ, ПУ, дет, шт, цилинд с нос, красн, 50-70г, жарост). Евро, 0,1</t>
  </si>
  <si>
    <t>I0000002634</t>
  </si>
  <si>
    <t>Томат Непас 9 (Непасынкующийся удлиненный) (ран/сп, ОГ, ПУ, дет, цилинд с нос, ярко-крас, 50-60г, плотн, для цел/пл. консерв.). Евро, 0,1</t>
  </si>
  <si>
    <t>I0000002635</t>
  </si>
  <si>
    <t>Томат Непас 10 (Непасынкующийся полосатый) (ранний, ОГ, ПУ, дет, штамб, овал, малин с желт полоск, 70-80г, неприхотл, урож.). Евро, 0,1</t>
  </si>
  <si>
    <t>I0000002636</t>
  </si>
  <si>
    <t>Томат Непас 11 (Непасынкующийся комнатный) (ХИТ! ультраск/сп, ОГ, пар, теп, дет, шт, шаровид, красн, до 20г, декор, консерв.). Евро, 0,1</t>
  </si>
  <si>
    <t>I0000016471</t>
  </si>
  <si>
    <t>I0000002637</t>
  </si>
  <si>
    <t>Томат Непас 12 (Непасынкующийся крупный) (ХИТ! ультраск/сп, ОГ, ПУ, дет, шт, округ, красн, 100-150г, холодост, плодоносн.). Евро, 0,1</t>
  </si>
  <si>
    <t>I0000002638</t>
  </si>
  <si>
    <t>Томат Непас 13 (Непасынкующийся сливовидный) (ХИТ! ОГ, ПУ, дет, шт, сливовид в нос, красн, 70-90г, плотн, жарост.). Евро, 0,1</t>
  </si>
  <si>
    <t>I0000002639</t>
  </si>
  <si>
    <t>Томат Непас 14 (Непасынкующийся сахарный) (ОГ, ПУ, дет, шт, пл/округ, красн, 80-100г, плотн, урож.). Евро, 0,1</t>
  </si>
  <si>
    <t>I0000016147</t>
  </si>
  <si>
    <t>Томат Непас 15 (Непасынкующийся Балконный) (скороспел., ОГ и выр.на балконе и подок., детерм., штамб.,35-45 см., окр., ярк/красн., 30-40г., в св. виде, консерв., заморозк., вяления). Евро, 0,1</t>
  </si>
  <si>
    <t>Томат Непасынкующийся (ХИТ! скороспел, ОГ, ПУ, дет, пл/округ, красн, 50-80г, неприхотлив.). Евро, 0,1</t>
  </si>
  <si>
    <t>Томат Непасынкующийся (ХИТ! скороспел, ОГ, ПУ, дет, пл/округ, красн, 50-80г, неприхотлив.). МФ, 0,1</t>
  </si>
  <si>
    <t>I0000001164</t>
  </si>
  <si>
    <t>Томат Непасынкующийся красный с носиком F1 (ХИТ! ОГ, ПУ, дет, шт, овал с нос, ярко-красн, 70-90г, жарост, плодоносн.). Евро, 0,1</t>
  </si>
  <si>
    <t>I0000002059</t>
  </si>
  <si>
    <t>томат Непасынкующийся Морковный (ср.спел., ОГ, ПУ, дет, шт, цилинд с нос, красн, 50-70г, жарост). Евро, 0,1</t>
  </si>
  <si>
    <t>Томат Непасынкующийся оранжевый с носиком (ОГ, ПУ, дет, шт, цилинд с нос, сл/реб, оранж, 60-80г, плотн, урож.). Евро, 0,1</t>
  </si>
  <si>
    <t>I0000001162</t>
  </si>
  <si>
    <t>Томат Непасынкующийся оранжевый сердцевидный (ХИТ! ран/сп, ОГ, ПУ, дет, штамб, округ с нос, ярко-оранж, 60-70г, плотн, урож.). Евро, 0,1</t>
  </si>
  <si>
    <t>I0000002108</t>
  </si>
  <si>
    <t>Томат Непасынкующийся полосатый (ран/сп, ОГ, ПУ, дет, шт, овал, малин с желт полоск, 70-80г, неприхотл, урож.). Евро, 0,1</t>
  </si>
  <si>
    <t>I0000001145</t>
  </si>
  <si>
    <t>Томат Непасынкующийся розовый (ран/сп, ОГ, ПУ, дет, шт, округ, роз-малин, 110-140г, мясистый). Евро, 0,1</t>
  </si>
  <si>
    <t>I0000001146</t>
  </si>
  <si>
    <t>Томат Непасынкующийся сахарный (ОГ, ПУ, дет, шт, пл/округ, красн, 80-100г, плотн, урож.). Евро, 0,1</t>
  </si>
  <si>
    <t>Томат Нептун F1 (ранний, ОГ, дет, пл/округ, красн, 60-100г, плотный, выравнен.). Евро, 0,05</t>
  </si>
  <si>
    <t>Томат Никола (ОГ, ПУ, дет, округ, красн, 75-100г, стабильно урож.). Евро, 0,1</t>
  </si>
  <si>
    <t>Томат Новинка Приднестровья (ОГ, ПУ, дет, цилинд, красн, 40-60г, высокопродукт.). Евро, 0,2</t>
  </si>
  <si>
    <t>Томат Новичок (ОГ, ПУ, дет, овал, оранж-красн, 80-110г, неприхотл, товарн.). Евро, 0,2</t>
  </si>
  <si>
    <t>I0000012790</t>
  </si>
  <si>
    <t>томат Новичок Розовый о/г  (ОГ, ПУ, дет, овал, ярк-роз, 90-120 г, плотн.,мясист.,для салат.,соков,паст,консервиров.). Евро, 0,1</t>
  </si>
  <si>
    <t>I0000015495</t>
  </si>
  <si>
    <t>Томаты Цветные Галактики</t>
  </si>
  <si>
    <t>томат Огненная Галактика з/г(ран.спел.,ПУ/тепл., ,индет,100-150г., плоскоокр.,ярк-красн., для салатов, соков, соусов). Евро, 0,1</t>
  </si>
  <si>
    <t>I0000002021</t>
  </si>
  <si>
    <t>Томат Огни Москвы (ранний, ОГ, ПУ, дет, округ, темн-красн, до 120г, не растреск. при консерв.). Евро, 0,1</t>
  </si>
  <si>
    <t>Томат Огородник (теп, ПУ, индет, пл/округ, красн, 150-250г, холодост, высокоурож.). Евро, 0,1</t>
  </si>
  <si>
    <t>I0000002060</t>
  </si>
  <si>
    <t>Томат Оконно-балконный (скороспел, ОГ, дом, дет, пл/округ, ярко-красн, 40-70г, вкусный). Евро, 0,1</t>
  </si>
  <si>
    <t>I0000002061</t>
  </si>
  <si>
    <t>Томат Оконный (скороспел, ОГ, дом/усл, дет, штамб, округ, красн, до 20г, для сушки и заморозки). Евро, 0,1</t>
  </si>
  <si>
    <t>Томат Оранжевые сливки (ПУ, полудет, сливовид, ярко-оранж, 40-60г, холодост, консер.). Евро, 0,1</t>
  </si>
  <si>
    <t>I0000001459</t>
  </si>
  <si>
    <t>Томат Оранжевый гигант (зг, тепл, индет, окр, пл/окр, оранж, 250-350г, для соков, для диет). Евро, 0,1</t>
  </si>
  <si>
    <t>Томат Отрадный (ранний, ОГ, ПУ, дет, штамб, округ, красн, 50-70г, холодост, хорош в соленьях). Евро, 0,1</t>
  </si>
  <si>
    <t>I0000001491</t>
  </si>
  <si>
    <t>Томат Папенькина дочка F1 (ОГ, тепл, индет, окр, малин, 200-250г, для салатов и соков, урож-ый.). Евро, 0,05</t>
  </si>
  <si>
    <t>Томат Парниковое чудо F1 (теп, ПУ, индет, окр, ярко-крас, 200-250г, для салатов и соков). Евро, 0,1</t>
  </si>
  <si>
    <t>Томат Парниковый консервный (ран/сп, ОГ, ПУ, дет, округ, красн, 60-80г, стабильноурож.). Евро, 0,05</t>
  </si>
  <si>
    <t>Томат Парниковый крупноплодный F1 (ЗГ, индет, пл/окр, крас, 250-300г, салатный). Евро, 0,05</t>
  </si>
  <si>
    <t>Томат Парниковый ультраскороспелый F1 (ультраск/сп, ПУ, дет, окр сл/реб, крас, 120-180г, универс.). Евро, 0,05</t>
  </si>
  <si>
    <t>Томат Парниковый урожайный F1 (ран/сп, ОГ, ПУ, дет, пл/окр, ярк-крас, 90-110г, длит.хран.). Евро, 0,05</t>
  </si>
  <si>
    <t>I0000002022</t>
  </si>
  <si>
    <t>Томат Перемога 165 (ранний, ОГ, ПУ, дет, пл/окр, красн, до 140г, в непогоду с урожаем!). Евро, 0,1</t>
  </si>
  <si>
    <t>Томат Персик (ОГ, ПУ, дет, штамб, округ, крем-желт, 60-80г, для цельноплод. консерв.). Евро, 0,1</t>
  </si>
  <si>
    <t>Томат Персик красный (ОГ, тепл, индет, округ, роз-красн, 180-200г, плотн, мясист.). Евро, 0,1</t>
  </si>
  <si>
    <t>I0000000631</t>
  </si>
  <si>
    <t>Томат Перцевидный гигант (тепл, ПУ, индет, удл-перц, ярко-крас, 150-200г, плотн, мясист.). Евро, 0,1</t>
  </si>
  <si>
    <t>Томат Перцевидный королевский (ОГ, тепл, индет, удл-перц с нос, ярко-крас, 80-90г, консерн, для сушки, замораж.). Евро, 0,1</t>
  </si>
  <si>
    <t>Томат Перцевидный красный (ХИТ! ОГ, тепл, индет, удл-перц с остр.нос, крас, 120г, консерн, для сушки, . Евро, 0,1</t>
  </si>
  <si>
    <t>I0000001708</t>
  </si>
  <si>
    <t>Томат Перцевидный оранжевый (ПУ, тепл, индет, перцевид, оранж, 135-150г, теневыносл). Евро, 0,1</t>
  </si>
  <si>
    <t>Томат Перцевидный полосатый (ХИТ! парн, тепл, индет, перцевид с остр нос, красн с желт полос, 80-120г, урож-ый.). Евро, 0,1</t>
  </si>
  <si>
    <t>Томат Перцевидный розовый (ОГ, тепл, индет, перцевид с остр нос, розов, 80-120г, для цельноплод конс.). Евро, 0,1</t>
  </si>
  <si>
    <t>I0000015191</t>
  </si>
  <si>
    <t>томат Перцевидный Шоколадный з/г (ПУ, дет, грушевидн., св.-коричн., 90-110г, плотн., в св.виде,консервир.,засола)). Евро, 0,05</t>
  </si>
  <si>
    <t>Томат Перцевидный штамбовый (ОГ, ПУ, дет, штамб, перцевид с нос, ярко-красн, 80-80г, урож-ый). Евро, 0,1</t>
  </si>
  <si>
    <t>I0000000458</t>
  </si>
  <si>
    <t>Томат Петр Великий F1 (ХИТ! ПУ, теп, индет, цилинд с нос, красн, 90-120г, для засола и консерв.). Евро, 0,05</t>
  </si>
  <si>
    <t>Томат Петр Первый F1 (ХИТ! ЗГ, индет, овал, красн, 80-90г, для засолки и консерв.). Евро, 0,05</t>
  </si>
  <si>
    <t>Томат Пингвин F1 (ОГ, ПУ, дет, штамб, округ, ярко-розов, 150-200г, урож-ый). Евро, 0,1</t>
  </si>
  <si>
    <t>Томат Пиноккио (ранний, ОГ, ПУ, дет, штамб, окр, пл/окр, ярко-красн, 15-20г, декорат.). Евро, 0,1</t>
  </si>
  <si>
    <t>Томат Пиноккио (ранний, ОГ, ПУ, дет, штамб, окр, пл/окр, ярко-красн, 15-20г, декорат.). МФ, 0,1</t>
  </si>
  <si>
    <t>Томат Подарок женщине F1 (ХИТ! ОГ, ПУ, дет, округ, ярко-розов, 200-250г, урожайн.). Евро, 0,05</t>
  </si>
  <si>
    <t>Томат Полная кубышка (тепл, пар, дет, кубовид, сл/ребр, красн, до 400г, высок.содерж.сахара). Евро, 0,1</t>
  </si>
  <si>
    <t>I0000002201</t>
  </si>
  <si>
    <t>Томат Поль Робсон (ОГ, тепл, парн, полудет, пл/округ, красно-корич, 150-250г, салатный, сахарный). Евро, 0,1</t>
  </si>
  <si>
    <t>Томат Полюс (ранний, ОГ, ПУ, дет, окр, пл/окр, интенс-красн, 150-200г, плотн, засухоуст.). Евро, 0,1</t>
  </si>
  <si>
    <t>Томат Полярник (ранний, ОГ, ПУ, полудет, округ, красн, 120-150г, завяз. плоды в неблагопр. усл.). Евро, 0,2</t>
  </si>
  <si>
    <t>Томат Примадонна F1 (ХИТ! ранний, ОГ, тепл, дет, сердцевид. с нос, сл/ребр, крас, до 100г, выс/урож, транспортаб.). Евро, 0,05</t>
  </si>
  <si>
    <t>Томат Пышная купчишка F1 (ОГ, тепл, индет, окр, пл/окр, красн, 200-250г, плотн, мясист.). Евро, 0,05</t>
  </si>
  <si>
    <t>Томат Разносол (ранний, ОГ, тепл, дет, штамб, пл/округ, красн, до 70г, стабильно урож, консервн.). Евро, 0,1</t>
  </si>
  <si>
    <t>Томат Райская конфетка F1 (ХИТ! ранний, тепл, ПУ, индет, округ, ярко-красн, 15-20г, для цел/пл консерв.). Евро, 0,05</t>
  </si>
  <si>
    <t>Томат Райское наслаждение (теп, ПУ, индет, пл/окр, сл/ребр, ярко-крас, 400-500г, рекорд 800г, салатн.). Евро, 0,1</t>
  </si>
  <si>
    <t>Томат Райское яблочко (ранний, ОГ, ПУ, полудет, округ, красн, 70-80г, неприхотл, хорошо завяз. плоды). Евро, 0,2</t>
  </si>
  <si>
    <t>Томат Ранний грунтовый (ранний, ОГ, ПУ, дет, пл/округ, красн, до 150г, холодост, стабил.урож.). Евро, 0,2</t>
  </si>
  <si>
    <t>Томат Ранний Дубинина (очень ранний, ОГ, ПУ, дет, округ, оранж-красн, 50-70г, уст. к перепад.темпер.). Евро, 0,2</t>
  </si>
  <si>
    <t>Томат Ранний 83 (ранний, ОГ, ПУ, дет, штамб, пл/окр, сл/реб, красн, до 150г, друж.созрев, стабил.урож.). МФ, 0,2</t>
  </si>
  <si>
    <t>Томат Рио гранд (ОГ, ПУ, дет, овал-кубовид, ярко-красн, 150-140г, плотн, для цел/пл конс.). Евро, 0,2</t>
  </si>
  <si>
    <t>Томат Рио фуэго (ранний, ОГ, ПУ, дет, овал, интенс-красн, 120-130г, транспортаб, консервн.). Евро, 0,2</t>
  </si>
  <si>
    <t>Томат Розовая Андромеда F1 (ранний, ОГ, ПУ, дет, пл/окр сл/реб, розов, 90-120г, жаростойк.). Евро, 0,05</t>
  </si>
  <si>
    <t>I0000002023</t>
  </si>
  <si>
    <t>Томат Розовая груша (ранний, парн, ПУ, полудет, грушевид, розов, 30-50г, толстокож, консервн.). Евро, 0,1</t>
  </si>
  <si>
    <t>Томат Розовое чудо F1 (ультраск/спел, ОГ, ПУ, дет, округ, малин, 100-110г, сладкий). Евро, 0,05</t>
  </si>
  <si>
    <t>Томат Розовый гигант (ХИТ! ЗГ, индет, пл/округ, розов, 200-350г, сахарист, салатн.). Евро, 0,1</t>
  </si>
  <si>
    <t>Томат Розовый лидер (ХИТ! очень ранний, ОГ, ПУ, дет, штамб, округ, роз-малин, 120-150г, сочный, для соков). Евро, 0,1</t>
  </si>
  <si>
    <t>Томат Розовый лидер (ХИТ! очень ранний, ОГ, ПУ, дет, штамб, округ, роз-малин, 120-150г, сочный, для соков). МФ, 0,1</t>
  </si>
  <si>
    <t>Томат Розовый мясистый (ранний, ОГ, ПУ, дет, штамб, округ, пл/окр, розов, 150-200г, вынослив, для соков). Евро, 0,1</t>
  </si>
  <si>
    <t>Томат Розовый царь (ОГ, ПУ, индет, окр, пл/окр, малин, 250-300г, сахаристый, салатный). Евро, 0,1</t>
  </si>
  <si>
    <t>I0000012737</t>
  </si>
  <si>
    <t>Томат Розовый чемпион F1 (ранний, тепл, ПУ, индет, окр и сердцевид с нос, розов, 170-250г, урож-ый!). Евро, 0,03</t>
  </si>
  <si>
    <t>Томат Рома (ОГ, ПУ, дет, овал, красн, 60-80г, плотн, для сушки и замораж.). Евро, 0,2</t>
  </si>
  <si>
    <t>Томат Русская империя F1 (ХИТ! ЗГ, индет, удл-овал, ярко-красн, 130-150г, тостокож, консервн). Евро, 0,05</t>
  </si>
  <si>
    <t>Томат Русский богатырь (ОГ, ПУ, пар, индет, округ, красн, 350-500 (до 800)г, салатн.). Евро, 0,1</t>
  </si>
  <si>
    <t>Томат Русский богатырь (ОГ, ПУ, пар, индет, округ, красн, 350-500 (до 800)г, салатн.). МФ, 0,1</t>
  </si>
  <si>
    <t>Томат Русский витязь F1 (тепл, индет, пл/окр, розов, 230-280г, в кисти 5-6пл, стрессоуст.). Евро, 0,05</t>
  </si>
  <si>
    <t>Томат Русский герой F1 (ЗГ, индет, пл/окр, розов, 240-280г, мясист, салатн.). Евро, 0,05</t>
  </si>
  <si>
    <t>Томат Русский царь F1 (ЗГ, индет, округ, розов, 230-250г, сочн, мясист, высокоурож.). Евро, 0,05</t>
  </si>
  <si>
    <t>Томат Рябчик (ОГ, ПУ, дет, пл/округ, красн с желт полос, 200-300г, сладкий, оригинал.). Евро, 0,2</t>
  </si>
  <si>
    <t>I0000014276</t>
  </si>
  <si>
    <t>томат Самбол о/г (супер/ран, ОГ, ПУ, индет, окр, ярко-красн, 200-250г, мясист., для салат, соков). Евро, 0,1</t>
  </si>
  <si>
    <t>I0000015559</t>
  </si>
  <si>
    <t>томат Самбол Ананасный з/г(ран/спел., ПУ, индет, плоско/окр, зеленов.с роз/красн.полоск., 400-600г, мясист., для салат.). Евро, 0,1</t>
  </si>
  <si>
    <t>I0000016143</t>
  </si>
  <si>
    <t>томат Самбол Розовый (ран/спел., ПУ, индет, плоск/окр, ярко-розов, 600-800г, сладк.,сочн., для салат, соков). Евро, 0,1</t>
  </si>
  <si>
    <t>I0000015868</t>
  </si>
  <si>
    <t>томат Самкон F1  (ХИТ! ЗГ, индет, эллипсовид, красн., 30-50г, для суш, замороз.). Евро, 0,05</t>
  </si>
  <si>
    <t>I0000015871</t>
  </si>
  <si>
    <t>томат Самкон 7 F1  (ХИТ! ЗГ, индет, эллипсовид, красн, 30-50г, для суш, замороз.). Евро, 0,05</t>
  </si>
  <si>
    <t>I0000015869</t>
  </si>
  <si>
    <t>томат Самкон 11 F1  (ХИТ! ЗГ, индет, эллипсовид, красн., 30-50г, для суш, замороз.). Евро, 0,05</t>
  </si>
  <si>
    <t>I0000015870</t>
  </si>
  <si>
    <t>томат Самкон 12 F1  (ХИТ! ЗГ, индет, эллипсовид, красн., 30-50г, для суш, замороз.). Евро, 0,05</t>
  </si>
  <si>
    <t>Томат Самоцвет золотой F1 (ХИТ! ЗГ, индет, эллипсовид, желт, 30-50г, для суш, замороз.). Евро, 0,05</t>
  </si>
  <si>
    <t>Томат Самоцвет изумрудный F1 (ХИТ! ранний, ЗГ, индет, сливовид, зелен, 30-40г, сочн, урож-ый). Евро, 0,05</t>
  </si>
  <si>
    <t>Томат Самоцвет изумрудный F1 (ХИТ! ранний, ЗГ, индет, сливовид, зелен, 30-40г, сочн, урож-ый). Евро, 0,1</t>
  </si>
  <si>
    <t>Томат Самоцвет лучистый F1 (ОГ, тепл, индет, удл-овал с остр кончиком, крас с оранж полос, 25-45г, сочн, слад.). Евро, 0,05</t>
  </si>
  <si>
    <t>Томат Самоцвет нефритовый F1 (ХИТ! ранний, ЗГ, индет, округ, светло-зелен, 20-30г, сладк. с кислинк, урожайн.). Евро, 0,05</t>
  </si>
  <si>
    <t>Томат Самоцвет нефритовый F1 (ХИТ! ранний, ЗГ, индет, округ, светло-зелен, 20-30г, сладк. с кислинк, урожайн.). Евро, 0,1</t>
  </si>
  <si>
    <t>Томат Самоцвет сахарный F1 (ранний, ЗГ, индет, округ, красн в желт полос, 30-60г, декор, сладкий). Евро, 0,05</t>
  </si>
  <si>
    <t>I0000002062</t>
  </si>
  <si>
    <t>Томат Самран (самый ранний) (ранний, ОГ, дет, пл/окр, ярко-красн, 60-120г, для соков). Евро, 0,1</t>
  </si>
  <si>
    <t>I0000016153</t>
  </si>
  <si>
    <t>томат Самран 2  КК (кустовой красный). Евро, 0,1</t>
  </si>
  <si>
    <t>I0000016252</t>
  </si>
  <si>
    <t>томат Самран 4 (кустовой розовый). Евро, 0,1</t>
  </si>
  <si>
    <t>I0000015867</t>
  </si>
  <si>
    <t>томат Самчеррито F1(ран.сп, ОГ, ПУ, овальн., красн,до 25 г, сладк.,в св.виде,косерв.,соков и заморозки). Евро, 0,05</t>
  </si>
  <si>
    <t>I0000015865</t>
  </si>
  <si>
    <t>томат Самчеррито Кримсон F1(ран.сп, ОГ, ПУ,окр/овальн., красн, 25-30 г, плотн.,яркий вкус.,в св.виде,косерв.и заморозки). Евро, 0,05</t>
  </si>
  <si>
    <t>I0000015866</t>
  </si>
  <si>
    <t>томат Самчеррито Пинк F1(ран.сп, ОГ, ПУ,округл., розов., 30-35 г, плотн.,яркий вкус.,в св.виде,косерв.и заморозки). Евро, 0,05</t>
  </si>
  <si>
    <t>I0000015864</t>
  </si>
  <si>
    <t>томат Самчеррито Ред F1(ран.сп, ОГ, ПУ,овальн., ярко/красн, 20-25 г, плотн.,сладк. вкус.,в св.виде,косерв.и заморозки). Евро, 0,05</t>
  </si>
  <si>
    <t>Томат Санчо Панса F1 (парн, тепл, индет, окр, ярко-желт, 150-200г, выс.сод. каротина и сахара). Евро, 0,1</t>
  </si>
  <si>
    <t>Томат Санька (ХИТ! ультраск/сп, ОГ, ПУ, дет, округ сл/реб, красн, 80-100г, устойчив, цел/пл косерв.). Евро, 0,1</t>
  </si>
  <si>
    <t>Томат Санька (ХИТ! ультраск/сп, ОГ, ПУ, дет, округ сл/реб, красн, 80-100г, устойчив, цел/пл косерв.). МФ, 0,1</t>
  </si>
  <si>
    <t>I0000015494</t>
  </si>
  <si>
    <t>Томаты Сахарные</t>
  </si>
  <si>
    <t>томат Сахар Ананасный з/г(ран.спел.,ПУ/тепл., индет, плоскоокр, желт.-оранж., 300-500 г, в св.виде, салатов.). Евро, 0,1</t>
  </si>
  <si>
    <t>Томат Сахар белый (теп, ПУ, индет, окр, пл/окр, желт-крем, 100-120г, вкусн, для диет.пит.). Евро, 0,1</t>
  </si>
  <si>
    <t>I0000015188</t>
  </si>
  <si>
    <t>томат Сахар Бурый о/г(ср.спел.,ОГ/ПУ, детерм., плоск/окр.,красн/коричнев.,мясист., 170-300 г., в св.виде, для салатов и сока). Евро, 0,1</t>
  </si>
  <si>
    <t>I0000002381</t>
  </si>
  <si>
    <t>Томат Сахар жёлтый (ХИТ! теп, ПУ, индет, пл/окр, лимон-желт, 250-350г, мясист, сладк, аромат.). Евро, 0,05</t>
  </si>
  <si>
    <t>I0000002383</t>
  </si>
  <si>
    <t>Томат Сахар зелёный (ХИТ! ОГ, тепл, индет, пл/окр, желт-зел, 200-300г, салат, для диет.пит.). Евро, 0,1</t>
  </si>
  <si>
    <t>Томат Сахар коричневый (ХИТ! тепл, ПУ, индет, пл/окр, темно-борд и корич, 120-150г, салатн, для сок.). Евро, 0,1</t>
  </si>
  <si>
    <t>Томат Сахар красный (ХИТ! тепл, ПУ, индет, округ, красн, 80-100г, салатн, урожайн.). Евро, 0,1</t>
  </si>
  <si>
    <t>Томат Сахар малиновый F1 (ХИТ! тепл, ПУ, индет, окр, пл/окр, малин, 150-180г, салатн, урож.). Евро, 0,1</t>
  </si>
  <si>
    <t>I0000002382</t>
  </si>
  <si>
    <t>Томат Сахар оранжевый (ХИТ! теп, ПУ, индет, окр, пл/окр, оранж, 250-350г, салат, для диет.пит.). Евро, 0,1</t>
  </si>
  <si>
    <t>Томат Сахар розовый (ХИТ! теп, ПУ, индет, округ, роз-малин, 150-200г, сахарист, для соков). Евро, 0,1</t>
  </si>
  <si>
    <t>I0000015193</t>
  </si>
  <si>
    <t>томат Сахар Черный з/г(ср/спел., ПУ, индет, т.коричн., 250-300г, сладк.с кисл.,сочн., для салат, соков). Евро, 0,1</t>
  </si>
  <si>
    <t>Томат Сахарная слива жёлтая (скоросп, ЗГ, полудет, окр-сливовид, желт, 20-25г, для консер.ассорти). Евро, 0,2</t>
  </si>
  <si>
    <t>Томат Сахарная слива красная (ХИТ! скоросп, ЗГ, полудет, удл-сливовид, крас, 20-25г, консер. в соб.соку). Евро, 0,2</t>
  </si>
  <si>
    <t>Томат Сахарная слива красная (ХИТ! скоросп, ЗГ, полудет, удл-сливовид, крас, 20-25г, консер. в соб.соку). МФ, 0,2</t>
  </si>
  <si>
    <t>Томат Сахарная слива малиновая (скоросп, ЗГ, полудет, удл-сливовид, красн-малин, 20-25г, сахарн.). Евро, 0,2</t>
  </si>
  <si>
    <t>I0000000632</t>
  </si>
  <si>
    <t>Томат Сахарный бизон (ОГ, парн, теп, дет, конусовид, роз-красн, 350-400г, сахарн, салатн.). Евро, 0,1</t>
  </si>
  <si>
    <t>Томат Сахарный малыш F1 (ультр/ран, ОГ, ПУ, дет, штамб, окр, ярко-крас, 10-15г, до 200 плод на кусте). Евро, 0,05</t>
  </si>
  <si>
    <t>Томат Сашенька F1 (ранний, ОГ, тепл, дет, окр, ярк-крас, 150-200г, устойч. к слаб. освещенности). Евро, 0,05</t>
  </si>
  <si>
    <t>I0000002024</t>
  </si>
  <si>
    <t>Томат Свекровь F1 (ЗГ, индет, округ, красн, 150-190г, плотн, хранится до 1,5мес.). Евро, 0,03</t>
  </si>
  <si>
    <t>Томат Свит черри F1 (ХИТ! ультраск/сп, пар, теп, индет, окр, инт-крас, 20-30г, суперслад, конфетн.дерево). Евро, 0,05</t>
  </si>
  <si>
    <t>Томат Северная малютка (ультр/ран, ОГ, ПУ, дет, шт, окр-овал, красн, 30-40г, холодост, урожайн.). Евро, 0,1</t>
  </si>
  <si>
    <t>Томат Северянин (ран/сп, ОГ, ПУ, дет, округ, красн, 120-150г, холодост, устойч. к перепад. темпер.). Евро, 0,1</t>
  </si>
  <si>
    <t>Томат Семь сорок F1 (ранний, ОГ, тепл, дет, округ, красн, 220-250г, жаростойк, для засола). Евро, 0,05</t>
  </si>
  <si>
    <t>Томат Сенатор F1 (ОГ, ПУ, дет, овал, красн, 80-100г, товарн, для суш. и замор.). Евро, 0,05</t>
  </si>
  <si>
    <t>Томат Сергей F1 (ЗГ, индет, пл/окр, ярк-розов, до 300г, мясист, товарн, урожайн.). Евро, 0,05</t>
  </si>
  <si>
    <t>Томат Сердцевидный консервный (ОГ, ПУ, дет, сердцев, красн, 60-70г, плотн, сахарн.). Евро, 0,1</t>
  </si>
  <si>
    <t>Томат Сердцевидный консервный (ОГ, ПУ, дет, сердцев, красн, 60-70г, плотн, сахарн.). МФ, 0,1</t>
  </si>
  <si>
    <t>Томат Сестра F1 (ранний, ЗГ, полудет, пл/окр, ярко-красн, 140-160г, завяз.плод при пониж.освещен.). Евро, 0,05</t>
  </si>
  <si>
    <t>Томат Сестрёнка F1 (ранний, ОГ, ПУ, дет, овал сл/реб, ярко-красн, 60-80г, урож. в любую погоду). Евро, 0,05</t>
  </si>
  <si>
    <t>Томат Сибирский скороспелый (ХИТ! ран/сп, ОГ, ПУ, дет, окр, пл/окр, крас, до 180г, неприхот, плодонос.). Евро, 0,1</t>
  </si>
  <si>
    <t>I0000014880</t>
  </si>
  <si>
    <t>томат Скороспелка Малиновая (ран/сп, ОГ, ПУ, дет, пл/окр, малин., 80-150г, для салат.,сока,пюре). Евро, 0,1</t>
  </si>
  <si>
    <t>Томат Скороспелка (ранний, ОГ, ПУ, дет, пл/окр, красн, до 150г, холодост, неприхотл.). Евро, 0,2</t>
  </si>
  <si>
    <t>Томат Скороспелый Амурский (очень ран, ПУ, дет, окр, ярк-крас, 30-40г, неприхот, цел/пл консерв.). Евро, 0,1</t>
  </si>
  <si>
    <t>I0000002025</t>
  </si>
  <si>
    <t>Томат Сладкая гроздь (ХИТ! ранний, ЗГ, индет, окр, красн, 10-20г, суперобиль. и продолжит. плодонош.). Евро, 0,1</t>
  </si>
  <si>
    <t>Томат Сладкая гроздь золотая (ХИТ! ран/сп, ЗГ, индет, грушев, желт, 25-30г, обиль. и продолж. плодон.). Евро, 0,1</t>
  </si>
  <si>
    <t>Томат Сладкая гроздь шоколадная (ХИТ! ран/сп, ЗГ, индет, окр, корич-крас, 30-40г, продолж. плодонош.). Евро, 0,1</t>
  </si>
  <si>
    <t>Томат Сладкая девочка F1 (ХИТ! ульт/ран, теп, ПУ, дет, овал, ярко-красн, 20-30г, до 18 плодов в кисти). Евро, 0,05</t>
  </si>
  <si>
    <t>Томат Сладкоежка (скоросп, ОГ, пар, индет, округ, красн, 15-20г, декор, сладк, для джема, сушки). Евро, 0,2</t>
  </si>
  <si>
    <t>Томат Сливка консервная (о-ЗГ, ком/усл, дет, сливов, крас, 20-30г, плотн, не растреск при консерв.). Евро, 0,1</t>
  </si>
  <si>
    <t>I0000000058</t>
  </si>
  <si>
    <t>Томат Сливка шоколадная F1 (ран/сп, ПУ, теп, индет, удл-сливов, крас-корич, 30-50г, уст.к растрес). Евро, 0,1</t>
  </si>
  <si>
    <t>I0000015171</t>
  </si>
  <si>
    <t>томат Слон Желтый (ср/сп, ПУ/тепл., индет, окр, желт, 200-300г, для салат.и перераб.). Евро, 0,1</t>
  </si>
  <si>
    <t>Томат Сосулька красная (ран/сп, теп, ПУ, индет, удл-цилинд, красн, 80-100г, урожн, долго хран-ся). Евро, 0,2</t>
  </si>
  <si>
    <t>Томат Сосулька розовая (пар, теп, индет, удлин, ярк-роз, до 120г, плот, для цел/пл консер.). Евро, 0,1</t>
  </si>
  <si>
    <t>Томат Софья F1 (ранний, ОГ, ПУ, дет, конусов, красн, 60-70г, жарост, высокоурож.). Евро, 0,05</t>
  </si>
  <si>
    <t>Томат Союз 8 F1 (ранний, ОГ, ПУ, дет, пл/окр, интенс-красн, 110-130г, жарост, стабильно урож.). Евро, 0,05</t>
  </si>
  <si>
    <t>I0000002026</t>
  </si>
  <si>
    <t>Томаты Спрут</t>
  </si>
  <si>
    <t>Томат Спрут F1 (ХИТ! теп, индет, окр, крас, 100-160г, томат-дерево, рекорд урожай -14000 плод.). Евро, 0,03</t>
  </si>
  <si>
    <t>I0000013886</t>
  </si>
  <si>
    <t>томат Спрут Золотой F1 (Среднеран, ЗГ, ПУ, индет, сливовид,желт,30- 40г,). Евро, 0,03</t>
  </si>
  <si>
    <t>I0000002027</t>
  </si>
  <si>
    <t>Томат Спрут сливка F1 (ХИТ! ЗГ, теп, индет, овал, крас, 30-40г, томат-дерево, кистевой). Евро, 0,03</t>
  </si>
  <si>
    <t>I0000002554</t>
  </si>
  <si>
    <t>Томат Спрут сливка малиновая F1 (ХИТ! ран/сп, ЗГ, теп, индет, овал, ярк-роз, 15-20г, томат-дерево, кист, консерв.). Евро, 0,03</t>
  </si>
  <si>
    <t>I0000002555</t>
  </si>
  <si>
    <t>Томат Спрут сливка оранжевая F1 (ран/сп, ЗГ, теп, индет, овал, желт-оранж, 15-20г, томат-дерево, кистев, консерн). Евро, 0,03</t>
  </si>
  <si>
    <t>I0000002553</t>
  </si>
  <si>
    <t>Томат Спрут сливка шоколадная F1 (ран/сп, ЗГ, теп, индет, овал, красно-черн, 15-20г, томат-дерево, кистев, для диет.). Евро, 0,03</t>
  </si>
  <si>
    <t>I0000002028</t>
  </si>
  <si>
    <t>Томат Спрут черри F1 (ХИТ! ЗГ, теп, индет, окр, ярк-крас, 15-20г, томат-дерево, кистев, для сушк.). Евро, 0,03</t>
  </si>
  <si>
    <t>I0000002556</t>
  </si>
  <si>
    <t>Томат Спрут черри малиновый F1 (ран/сп, парн, тепл, индет, окр, ярко-роз, 15-20г, кистев, для сушки). Евро, 0,03</t>
  </si>
  <si>
    <t>Томат Субарктик (суперскороспел, ОГ, ПУ, дет, округ, красн, 40-50г, урожай в любое лето). Евро, 0,2</t>
  </si>
  <si>
    <t>Томат Сумоист F1 (ЗГ, дет, окр-кубовид, ярко-красн, до 600г, урожайн, для соков). Евро, 0,05</t>
  </si>
  <si>
    <t>Томат Суперстар (ультраск/сп, ПУ, полудет, пл/окр сил/реб, ярко-крас, 200-250г, сахарист, салатн.). Евро, 0,2</t>
  </si>
  <si>
    <t>Томат Счастье F1 (ХИТ! ЗГ, индет, пл/окр сл/реб, насыщ-роз, 250-300г, очень плотный). Евро, 0,05</t>
  </si>
  <si>
    <t>Томат Счастье русское F1 (ХИТ! ЗГ, индет, пл/окр, ярк-роз, 280-350г, мясистый, сладкий). Евро, 0,05</t>
  </si>
  <si>
    <t>I0000015186</t>
  </si>
  <si>
    <t>томат Тайсон (Среднеспел, ОГ, ПУ, дет, пл/округ, коричнев, до 200г,). Евро, 0,1</t>
  </si>
  <si>
    <t>Томат Талалихин 186 (ранний, ОГ, ПУ, дет, пл/окр сл/реб, красн, 75-100г, выносливый). Евро, 0,2</t>
  </si>
  <si>
    <t>Томат Талалихин 186 (ранний, ОГ, ПУ, дет, пл/окр сл/реб, красн, 75-100г, выносливый). МФ, 0,2</t>
  </si>
  <si>
    <t>Томат Татьяна (ХИТ! ранний, ОГ, ПУ, дет, шт, округ, красн, до 250г, выносл, высокоурож.). Евро, 0,1</t>
  </si>
  <si>
    <t>Томат Толстый Карлсон F1 (ОГ, ПУ, дет, округ, красн, 180-250г, урожайный). Евро, 0,05</t>
  </si>
  <si>
    <t>I0000002029</t>
  </si>
  <si>
    <t>Томат Толстый сосед F1 (ЗГ, индет, округ, красн, 150-190 г, урожайн, транспортаб.). Евро, 0,03</t>
  </si>
  <si>
    <t>Томат Толстяк F1 (ОГ, тепл, индет, окр-кубовид, сл/ребр, красн, 200-250г, очень вкусный!). Евро, 0,1</t>
  </si>
  <si>
    <t>I0000014383</t>
  </si>
  <si>
    <t>томат Трюфель Красный з/г (ПУ, тепл, индет, грушевидн., ребр,ярк- красн, 150-300г,мясист.,сладк., в св.виде,соков,переработк.)). Евро, 0,1</t>
  </si>
  <si>
    <t>I0000002102</t>
  </si>
  <si>
    <t>Томат Ультраскороспелый (скоросп, ОГ, ПУ, дет, штамб, округ, красн, 60-80г, холодост, дружн.созрев.). Евро, 0,1</t>
  </si>
  <si>
    <t>Томат Услада F1 (ранний, ЗГ, индет, округ, ярко-красн, 100-110г, плотн, транспораб.). Евро, 0,05</t>
  </si>
  <si>
    <t>Томат Успех (очень ранний, ОГ, ПУ, дет, штамб, сливовид с нос, крас, 60-70г, холодост, консерв. в соб. соку). Евро, 0,2</t>
  </si>
  <si>
    <t>Томат Устинья F1 (ОГ, ПУ, дет, овал с мал.нос, ярко-красн, 70-90г, для цел/плод консерв.). Евро, 0,1</t>
  </si>
  <si>
    <t>Томат Утёнок (ранний, ОГ, ПУ, дет, штамб, округ с нос, ярко-оранж, 70-90г, сахарный, для диет.пит.). Евро, 0,1</t>
  </si>
  <si>
    <t>Томат Ухажёр (тепл, ПУ, дет, цилинд, красн, 80-110г, мясист, тостокож, консервн.). Евро, 0,1</t>
  </si>
  <si>
    <t>Томат Фаворит СеДеК (ранний, ОГ, ПУ, полудет, овал-кубов, оранж-красн, 80-100г, для консерв.). Евро, 0,2</t>
  </si>
  <si>
    <t>Томат Феличита F1 (ранний, ОГ, тепл, полудет, округ, красн, до 250г, интенсив. отдача урожая). Евро, 0,05</t>
  </si>
  <si>
    <t>I0000015583</t>
  </si>
  <si>
    <t>томат Фиолетовая Галактика з/г . Евро, 0,1</t>
  </si>
  <si>
    <t>I0000015190</t>
  </si>
  <si>
    <t>томат Фиолетовый Джаспер (Среднеспел, ЗГ, ПУ, индет, округ, красно-коричн,полосат, до 50г,). Евро, 0,1</t>
  </si>
  <si>
    <t>Томат Флорида петит (ХИТ! сверх/ран, ОГ, ПУ, дет, окр, крас, 15-25г, декор, обилие плодов, для сушки). Евро, 0,1</t>
  </si>
  <si>
    <t>Томат Хан F1 (скороспел, ОГ, ПУ, дет, пл/окр сл/реб, темн-красн, 150-200г, для соков). Евро, 0,2</t>
  </si>
  <si>
    <t>Томат Хурма (ХИТ! ОГ, тепл, пар, полудет, форма хурмы, золот-оранж, 300-400г, сахарист, салатн.). Евро, 0,1</t>
  </si>
  <si>
    <t>Томат Царевна F1 (ХИТ! ОГ, ПУ, дет, удл-цилиндр, красн, 60-80г, урож-ый, консерв.). Евро, 0,05</t>
  </si>
  <si>
    <t>I0000002827</t>
  </si>
  <si>
    <t>Томат Царёк F1 (ОГ, ПУ, дет, сливовид, красн, 70-100г, неприхотл, консервн.). Евро, 0,05</t>
  </si>
  <si>
    <t>I0000002883</t>
  </si>
  <si>
    <t>Томат Царица F1 (ОГ, ПУ, дет, удл-цилиндр, красн, 80-100г, высок. сод. сухого вещ-ва). Евро, 0,05</t>
  </si>
  <si>
    <t>I0000015617</t>
  </si>
  <si>
    <t>томат Цилиндра Малиновая з/г(ср.ран.,ОГ/ПУ, полудет, перцев.,150-180г., роз-малин., для салатов, соков, пасты). Евро, 0,1</t>
  </si>
  <si>
    <t>Томат Челнок (ранний, ОГ, ПУ, дет, штамб, удл-овал с нос, ярко-красн, 60-70г, плотн, консервн.). Евро, 0,1</t>
  </si>
  <si>
    <t>Томат Челнок (ранний, ОГ, ПУ, дет, штамб, удл-овал с нос, ярко-красн, 60-70г, плотн, консервн.). МФ, 0,1</t>
  </si>
  <si>
    <t>I0000015192</t>
  </si>
  <si>
    <t>томат Черная Галактика (Ранний, ЗГ, ПУ, индет, округ, фиолет-коричн, до 70г,). Евро, 0,05</t>
  </si>
  <si>
    <t>I0000002196</t>
  </si>
  <si>
    <t>Томат Чёрная жемчужина (ранний, теп, пар, индет, окр, корич-красн, 25-30г, кистев, салатн.). Евро, 0,1</t>
  </si>
  <si>
    <t>I0000015131</t>
  </si>
  <si>
    <t>томат Черное Кружево (ср/сп, ПУ, индет, окр, шок/коричн., 25-30г, для салат.,консерв.). Евро, 0,1</t>
  </si>
  <si>
    <t>Томат Черномор (ХИТ! ОГ, тепл, пар, полудет, пл/окр, темно-борд, до 250-300г, сладк, салатн.). Евро, 0,1</t>
  </si>
  <si>
    <t>I0000015620</t>
  </si>
  <si>
    <t>томат Черный Вернисаж з/г(ср.спел.,ПУ/тепл., ,индет, окр.,50-80 г, коричн., для салатов, переработки). Евро, 0,1</t>
  </si>
  <si>
    <t>I0000015185</t>
  </si>
  <si>
    <t>томат Черный Зулус (ср/сп,ПУ/тепл., индет, окр, коричн, 30-40г, для салат., консерв.). Евро, 0,1</t>
  </si>
  <si>
    <t>I0000014721</t>
  </si>
  <si>
    <t>томат Черный из Техаса о/г(ср/сп, ПУ, индет, пл/окр, борд/коричн., 250-350г, для салат.,сока,пюре). Евро, 0,1</t>
  </si>
  <si>
    <t>I0000014122</t>
  </si>
  <si>
    <t>томат Черный Крымский (ср/сп,ПУ,индет, пл/окр, кр.коричн., 250-350г, для салат.,сока,пюре). Евро, 0,1</t>
  </si>
  <si>
    <t>Томат Чёрный мавр (тепл, парн, полудет, сливов, бордово-шоколад, 30-50г, сладкий, консерв.). Евро, 0,1</t>
  </si>
  <si>
    <t>Томат Чёрный мавр (тепл, парн, полудет, сливов, бордово-шоколад, 30-50г, сладкий, консерв.). МФ, 0,1</t>
  </si>
  <si>
    <t>Томат Чёрный принц (ХИТ! парн, тепл, индет, окр, темн-бордово-коричнев, до 400г, сладкий, салатн.). Евро, 0,1</t>
  </si>
  <si>
    <t>I0000000057</t>
  </si>
  <si>
    <t>Томат Черри со сливками F1 (парн, тепл, индет, овал, ярко-роз, 25-40г, декор, товарн, консер.). Евро, 0,05</t>
  </si>
  <si>
    <t>Томат Чибис (ОГ, ПУ, дет, штамб, удл-цилиндр с нос, ярко-красн, 60-70г, для цел/пл конс, бочк.засола). Евро, 0,1</t>
  </si>
  <si>
    <t>Томат Чудо посла (ранний, ОГ, ПУ, дет, удл-сливовид, красн, 80-100г, завяз. плоды при выс. температ.). Евро, 0,2</t>
  </si>
  <si>
    <t>Томат Чудо рынка (тепл, парн, индет, окр, пл/окр, красн, 200-300г, рекордн. плод 810г!). Евро, 0,1</t>
  </si>
  <si>
    <t>I0000002030</t>
  </si>
  <si>
    <t>Томат Шанс F1 (ЗГ, индет, округ, розов, 200-300г, мякоть арбузн, салатный). Евро, 0,05</t>
  </si>
  <si>
    <t>Томат Шоколадка F1 (ОГ, ПУ, индет, удл-сливов, корич с тем-зел полосами, 30-40г, красивый, вкусный. Евро, 0,03</t>
  </si>
  <si>
    <t>I0000015585</t>
  </si>
  <si>
    <t>томат Шоколадный Слон з/г . Евро, 0,1</t>
  </si>
  <si>
    <t>I0000015615</t>
  </si>
  <si>
    <t>томат Шоколадобиф з/г (ран.спел.,ОГ/ПУ,идетерм., плоскоокр.,кр.- коричн.,150-250 г., для салатов, перераб.). Евро, 0,1</t>
  </si>
  <si>
    <t>I0000015616</t>
  </si>
  <si>
    <t>томат Шоколадобой з/г(ср.спел.,ПУ, ,индет, шоколадн,120-200г., для салатов, соков, пасты). Евро, 0,1</t>
  </si>
  <si>
    <t>Томат Элтон Джон F1 (ОГ, ПУ, дет, штамб, округ, ярко-желт, 150-170г, для соков, салатов, консерв.). Евро, 0,1</t>
  </si>
  <si>
    <t>Томат Юбилейный Тарасенко (ЗГ, дет, окр-сливовид с нос, оранж-красн, 60-80г, для цел/пл консерв.). Евро, 0,1</t>
  </si>
  <si>
    <t>I0000002031</t>
  </si>
  <si>
    <t>Томат Южная красавица F1 (ЗГ, индет, округ, ярко-красн, 30-40г, плотн, сладк, не растреск.). Евро, 0,03</t>
  </si>
  <si>
    <t>Томат Яблонька России (ХИТ! ранний, ОГ, ПУ, дет, округ, оранж-красн, 70-90г, красивые кисти). Евро, 0,1</t>
  </si>
  <si>
    <t>Томат Яблонька России (ХИТ! ранний, ОГ, ПУ, дет, округ, оранж-красн, 70-90г, красивые кисти). МФ, 0,1</t>
  </si>
  <si>
    <t>Томат Ямал 200 (суперск/спел, ОГ, ПУ, дет, штамб, округ, красн, до180г, неприхотл, популярн.). Евро, 0,1</t>
  </si>
  <si>
    <t>Томат Ямал (ХИТ! суперск/спел, ОГ, ПУ, дет, штамб, округ, красн, до180г, неприхотл, популярн.). Евро, 0,1</t>
  </si>
  <si>
    <t>I0000015621</t>
  </si>
  <si>
    <t>томат Янтарная Галактика з/г (ср.спел.,ПУ, плоскоокр., ор/красн.,150-300 г, для салатов, соков, пасты). Евро, 0,1</t>
  </si>
  <si>
    <t>Томат Янтарный 530 (скоросп, ОГ, ПУ, дет, штамб, округ, ярко-желт, до 90г, сладк, неприхотл, холодост.). Евро, 0,3</t>
  </si>
  <si>
    <t>ТРАВА ДЛЯ ДОМ ПИТОМЦЕВ</t>
  </si>
  <si>
    <t>I0000000889</t>
  </si>
  <si>
    <t>трава для кошек 10 гр.(ср.созр. 10-15 дн., дом.усл.или на грядк.,злак.смесь трав зелен.,нежн.,сочн.). Евро, 10</t>
  </si>
  <si>
    <t>I0000000890</t>
  </si>
  <si>
    <t>трава для пернатых 10 гр.(ср.созр. 10-15 дн., дом.усл.или на грядк.,злак.смесь трав зелен.,нежн.,сочн.). Евро, 10</t>
  </si>
  <si>
    <t>ТЫКВА</t>
  </si>
  <si>
    <t>I0000002032</t>
  </si>
  <si>
    <t>тыква Адажио(ср.спел., круп.-плодн.,чалмовидн.,оранж./ярк.-оранж.,2,5-3 кг.). Евро, 1</t>
  </si>
  <si>
    <t>I0000002428</t>
  </si>
  <si>
    <t>тыква Ажур Медовый F1(ср.спел., круп.-плодн.,сплюснут.,св.-сер./желт.-оранж.,5-9 кг.). Евро, 1</t>
  </si>
  <si>
    <t>I0000016474</t>
  </si>
  <si>
    <t>тыква Амазонка(ср.спел., круп.-плодн.,плоскоокр.,оранж./ярк.-оранж.,1-1,5 кг.). Евро, 1,5</t>
  </si>
  <si>
    <t>тыква Ананасная F1(ср.спел., мускатн.,грушев.,беж.-крем./желт.-оранж.,1,5-2,5 кг.). Евро, 1</t>
  </si>
  <si>
    <t>тыква Арина(ран.спел., круп.-плодн.,сплюснут.,св.-сер./желт.,3-3,5 кг.). Евро, 2</t>
  </si>
  <si>
    <t>тыква Атлант(ср.поздн., круп.-плодн.,окр.-овал.,желт.-оранж./желт.-оранж.,6-10 кг.). Евро, 1</t>
  </si>
  <si>
    <t>I0000002033</t>
  </si>
  <si>
    <t>тыква Барыня F1 (ср.спел., круп.-плодн.,окр.-плоск.,бел.-крем../желт.,3-3,5 кг.). Евро, 1</t>
  </si>
  <si>
    <t>тыква Биг Мун(ср.поздн., круп.-плодн.,окр.-плоск.,желт./желт.-оранж., 20-50 кг.). Евро, 2</t>
  </si>
  <si>
    <t>Тыква Боровичок (декоративная)(однолетн.,чалмовидн.,форм.гриб.с красн.шап.и бел.ножк.). Евро, 0,25</t>
  </si>
  <si>
    <t>I0000002034</t>
  </si>
  <si>
    <t>тыква Боцман (ср.спел., круп.-плодн.,окр.,т.-зелен./желт.,3,5-5 кг.). Евро, 1</t>
  </si>
  <si>
    <t>тыква Бутылочная (декоративная) (форм.бутылк.для верт.озелен.,плод. в пищу). Евро, 1</t>
  </si>
  <si>
    <t>тыква Бэмби (декоративная)(мелкоплодн.,до 10 см., бел.с зел.полоск.). Евро, 0,25</t>
  </si>
  <si>
    <t>тыква Валентина F1 (ср.спел., круп.-плодн.,окр.,св.сер./св.-желт.,8-10 кг.). Евро, 1</t>
  </si>
  <si>
    <t>тыква Витаминная(мускатная)(поздн.спел., короткоовал.,бур.-коричн./ярк.-оранж.,4,5-6,8 кг.). Евро, 2</t>
  </si>
  <si>
    <t>тыква Волжская серая 92(ср.спел., круп.-плодн.,сплюснут.,св.-сер./желт.,6,3-9 кг.). Евро, 2</t>
  </si>
  <si>
    <t>тыква Грибовская зимняя(поздн.спел., круп.-плодн.,шаров.-сплюснут.,сер./желт.,3-4 кг.). Евро, 2</t>
  </si>
  <si>
    <t>тыква Грибовская зимняя(поздн.спел., круп.-плодн.,шаров.-сплюснут.,сер./желт.,3-4 кг.). МФ, 2</t>
  </si>
  <si>
    <t>I0000002036</t>
  </si>
  <si>
    <t>тыква Детская деликатесная F1 (ср.спел., круп.-плодн.,окр.,оранж./зел.-оранж., до 3 кг.). Евро, 1</t>
  </si>
  <si>
    <t>тыква Детские игрушки (декоративная)( корончатая,оранж.,зелен.,бел.,желт., 0,2-0,6 кг). Евро, 0,25</t>
  </si>
  <si>
    <t>тыква Дынная(ср.ран., твердокор.,окр.-приплюсн.,желт.-оранж./т.оранж.,25-30 кг.). Евро, 1</t>
  </si>
  <si>
    <t>тыква Дынька F1 (ран.спел., твердокор.,овал.,бел.с ярк.-зелен.полос./крем.,0,8-1,5 кг.). Евро, 1</t>
  </si>
  <si>
    <t>тыква Жёлтая из Парижа(ср.поздн., круп.-плодн.,окр.,желт./желт.-оранж., 30-40 кг.). Евро, 2</t>
  </si>
  <si>
    <t>тыква Жемчужина(мускатная)(ср.поздн.,цилиндр.,оранж./т.оранж.,3-6 кг.). Евро, 1</t>
  </si>
  <si>
    <t>тыква Жонглер (декоративная)(быстрораст.,трав.растен. с плод. разн.форм и цвет., использ.для верт.озелен.). Евро, 1</t>
  </si>
  <si>
    <t>тыква Зимняя Сладкая®(поздн.спел.,круп.-плодн.,окр.-овал.,т.-сер./оранж.,4,5-6,5 кг.). Евро, 2</t>
  </si>
  <si>
    <t>тыква Золотая семечка (ср.спел.,твердокор.,окр.,оранж.-зелен./желт.,2-3 кг.). Евро, 2</t>
  </si>
  <si>
    <t>тыква Зорька(ср.ран., круп.-плодн.,окр.-сплюснут.,сер.с роз.пятн./ярк.оранж.,5-6 кг.). Евро, 2</t>
  </si>
  <si>
    <t>тыква Изящная (ср.спел., круп.-плодн.,чалмовидн., сер./т.-оранж..,3,5-6 кг.) . Евро, 2</t>
  </si>
  <si>
    <t>тыква Каротиновая F1(ср.спел., круп.-плодн.,удл.-цилиндр.,сер.-зелен./желт.-оранж.,3-4 кг.). Евро, 1,5</t>
  </si>
  <si>
    <t>I0000002037</t>
  </si>
  <si>
    <t>тыква Каштанка F1 (ср.спел., круп.-плодн.,плоск.-окр.,т.-зелен./желт.,до 2 кг.). Евро, 1</t>
  </si>
  <si>
    <t>тыква Конфетка (ср.спел., круп.-плодн.,окр.,т.-красн./красн.-оранж.,1,5-2 кг.). Евро, 2</t>
  </si>
  <si>
    <t>I0000002038</t>
  </si>
  <si>
    <t>тыква Краса Огорода F1 (ср.поздн., круп.-плодн.,окр.-овал.,ярк.-оранж./желт.-оранж.,6-8 кг.). Евро, 1</t>
  </si>
  <si>
    <t>I0000002039</t>
  </si>
  <si>
    <t>тыква Красная Вкусная F1 (ср.поздн., круп.-плодн.,окр.,оранж./кр.-оранж.,до 2,5 кг.). Евро, 1</t>
  </si>
  <si>
    <t>тыква Крупноплодная 1(ср.спел., круп.-плодн.,слабосплюснут.,сер./желт.,8-12 кг.). Евро, 2</t>
  </si>
  <si>
    <t>тыква Купчиха(ср.спел., круп.-плодн.,окр.,оранж.-желт./оранж.,8-10 кг.). Евро, 2</t>
  </si>
  <si>
    <t>тыква Лебединая шея (декоративная) (быстрораст.,трав.растен. с эф. плод.,т.-зелен., использ.для верт.озелен.). Евро, 1</t>
  </si>
  <si>
    <t>тыква Лечебная(ран.спел., круп.-плодн.,сплюснут.,св.-сер../оранж.,3-5 кг.). Евро, 1,5</t>
  </si>
  <si>
    <t>тыква Лечебная(ран.спел., круп.-плодн.,сплюснут.,св.-сер../оранж.,3-5 кг.). МФ, 1,5</t>
  </si>
  <si>
    <t>I0000002040</t>
  </si>
  <si>
    <t>тыква Любимица F1 (ср.спел., круп.-плодн.,плоск.-окр.,т.-зелен./ярк.-желт.,2-2,5 кг.). Евро, 1</t>
  </si>
  <si>
    <t>тыква Мадам(ср.спел., круп.-плодн.,плоск.-окр.,роз.-крем../оранж.,12-15 кг.). Евро, 2</t>
  </si>
  <si>
    <t>тыква Медовая Токио F1(ср.спел., круп.-плодн.,плоск.-окр.,сер.-зелен./желт.-оранж., 2,5-3,5 кг.). Евро, 1</t>
  </si>
  <si>
    <t>тыква Мечта Кухарки(ср.спел., круп.-плодн.,плоск.-окр.,ярк.-оранж./св.оранж.,8-10 кг.). Евро, 1,5</t>
  </si>
  <si>
    <t>тыква Милашка (декоративная)(однол.быстрораст.сорт, зел.с желт.полос.,для вертик.озеленен.). Евро, 0,25</t>
  </si>
  <si>
    <t>тыква Миранда(ср.спел., твердокор.,окр.,сер.-зелен./ярк.-оранж.,3-4 кг.). Евро, 1,5</t>
  </si>
  <si>
    <t>тыква Мускатная (мускатная)(поздн.спел., кор.-цилиндр..,оранж.-крем./т.оранж.,4,7-6,5 кг.). Евро, 2</t>
  </si>
  <si>
    <t>I0000014711</t>
  </si>
  <si>
    <t>тыква Мускатная Прованская (ср.поздн., плоск.-окр.,оранж.-коричн./т.оранж.,3-8 кг.). Евро, 1</t>
  </si>
  <si>
    <t>I0000015517</t>
  </si>
  <si>
    <t>тыква Мускатное Сердце (мускатная)(поздн.спел., кор.-цилиндр..,оранж.-крем./т.оранж.,4,7-6,5 кг.). Евро, 2</t>
  </si>
  <si>
    <t>I0000002041</t>
  </si>
  <si>
    <t>тыква Оранжевая Медовая F1 (ХИТ! ср.спел.,крупноплодн.,плоск.-окр.,желт.-оранж./ярк.оранж.,1,8-2 кг.). Евро, 1</t>
  </si>
  <si>
    <t>I0000016476</t>
  </si>
  <si>
    <t>тыква Пинг-понг (декоративная)(однол.быстрораст.сорт, бел.мини-тыкв.разм. с тен.мяч,для вертик.озеленен.). Евро, 0,25</t>
  </si>
  <si>
    <t>I0000002042</t>
  </si>
  <si>
    <t>тыква Розовая Фея (ран.спел.,крупноплодн.,чалмовидн.,роз.-крем./ярк.оранж.,4-7 кг.). Евро, 1</t>
  </si>
  <si>
    <t>I0000014710</t>
  </si>
  <si>
    <t>тыква Розовый Банан (ср.спел.,крупноплодн.,веретеновидн.,желт./оранж.,5-18 кг.). Евро, 1</t>
  </si>
  <si>
    <t>тыква Россиянка (ран.спел.,крупноплодн.,чалмовидн.,оранж./ярк.оранж.,1,5-2 кг.). Евро, 2</t>
  </si>
  <si>
    <t>I0000002043</t>
  </si>
  <si>
    <t>тыква Русская каша (ср.спел.,крупноплодн.,плоск.-окр.,оранж.с роз.от./оранж.,6-7 кг.). Евро, 1</t>
  </si>
  <si>
    <t>тыква Сахарная Булава F1(ран.спел.,удл.-булавовидн.,мускатн.,крем./ярк.оранж.,1,5-2 кг.). Евро, 1</t>
  </si>
  <si>
    <t>тыква Сахарная Голова F1 (ср.поздн.,крупноплодн.,мускатн.,плоск.-окр.,св.-сер../желт.,15-30 кг.). Евро, 1</t>
  </si>
  <si>
    <t>I0000002044</t>
  </si>
  <si>
    <t>тыква Сахарная малышка (ср.спел.,крупноплодн.,плоск.-окр.,оранж./оранж.,1,5-2 кг.). Евро, 1</t>
  </si>
  <si>
    <t>тыква Сахарная Токио F1(ср.спел.,крупноплодн.,окр.-овал.,сер./желт.,2,5-3 кг.). Евро, 1</t>
  </si>
  <si>
    <t>I0000002045</t>
  </si>
  <si>
    <t>тыква Свекровушка(ср.спел.,крупноплодн.,плоск.-окр.,беж.-роз../св.оранж.,8-10 кг.). Евро, 1</t>
  </si>
  <si>
    <t>тыква Спагетти(ск..спел.,твердокор.,овал.,крем./беж.,0,8-1,2 кг.). Евро, 2</t>
  </si>
  <si>
    <t>тыква Стофунтовая(ср.поздн.,крупноплодн.,шаровидн.,крем.-роз/крем.-желт.,10-20 кг.). Евро, 2</t>
  </si>
  <si>
    <t>тыква Сувенир (декоративная, смесь сортов,с мелк.плод.разн.разм.и расцвет., для вертик.изгор.и интерьера). Евро, 1</t>
  </si>
  <si>
    <t>тыква Татьяна (ср.спел.,крупноплодн.,окр.-овал.,оранж./желт.оранж.,6-8 кг.). Евро, 1,5</t>
  </si>
  <si>
    <t>I0000002046</t>
  </si>
  <si>
    <t>тыква Тещенька F1 (ср.спел.,крупноплодн.,окр.,ярк.-оранж./желт.,10-12 кг.). Евро, 1</t>
  </si>
  <si>
    <t>тыква Турецкий тюрбан (декоративная)(чалмовидн.,оранж.,для вертик.озелен.). Евро, 1</t>
  </si>
  <si>
    <t>I0000002047</t>
  </si>
  <si>
    <t>тыква Украшение Сада F1(декоративная смесь сортов,с мелк.плод.разн.разм.и расцвет., для вертик.изгор.) . Евро, 1</t>
  </si>
  <si>
    <t>тыква Улыбка (ультраск.спел.,крупноплодн.,окр.-сплюснут.,ярк.-оранж./ярк.-оранж.,1-2 кг). Евро, 1,5</t>
  </si>
  <si>
    <t>тыква Фанго (декоративная) (однолетн.,быстрораст.,для вертик. озелен., плоды пестр.,в форме гриба). Евро, 1</t>
  </si>
  <si>
    <t>тыква Царевна лягушка(ср.поздн.,крупноплодн.,чалмовидн.,т.-зелен../желт.-оранж.,6-10 кг). Евро, 2</t>
  </si>
  <si>
    <t>УКРОП</t>
  </si>
  <si>
    <t>укроп Аврора(ран.спел., мощн.,облиств.,слаборассеч.,ср.разм.,зелен.,выс.-аромат). Евро, 2</t>
  </si>
  <si>
    <t>I0000012700</t>
  </si>
  <si>
    <t>укроп Аллигатор(ср.поздн., мощн.,облиств.,сильнорассеч.,кр.разм.,сиз-зелен.,сильн.-аромат). Евро, 1</t>
  </si>
  <si>
    <t>укроп Витязь(ср.спел., компактн., до 100 см .,рассеч.,кр.разм.,сиз.-зелен.,сильн.-аромат). Евро, 2</t>
  </si>
  <si>
    <t>укроп Голубая ель(ср.спел., компактн.,150-160 см .,ср.рассеч.,кр.разм.,сер.-зелен.,ароматн.). Евро, 2</t>
  </si>
  <si>
    <t>укроп Голубая ель(ср.спел., компактн.,150-160 см .,ср.рассеч.,кр.разм.,сер.-зелен.,ароматн.). МФ, 2</t>
  </si>
  <si>
    <t>укроп Грибовский(ран.спел., крупн., 18-30 см .,сильнорассеч.,кр.разм.,т.-зелен.,ароматн.). Евро, 2</t>
  </si>
  <si>
    <t>укроп Деликат(ср.спел., мощн.,сильнооблиств., 30-40 см .,ср.рассеч.,кр.разм.,зелен.,оч.ароматн.). Евро, 2</t>
  </si>
  <si>
    <t>укроп Деликат(ср.спел., мощн.,сильнооблиств., 30-40 см .,ср.рассеч.,кр.разм.,зелен.,оч.ароматн.). МФ, 2</t>
  </si>
  <si>
    <t>укроп Дилл(ср.спел., сильнооблиств.,70-90 см .,сильнорассеч.,т.-зелен.,сильн.-аромат). Евро, 2</t>
  </si>
  <si>
    <t>укроп Дилл(ср.спел., сильнооблиств.,70-90 см .,сильнорассеч.,т.-зелен.,сильн.-аромат). МФ, 2</t>
  </si>
  <si>
    <t>укроп Душистый букет(ср.спел., мощн.,сильнооблиств., 30-40 см .,кр.разм.,зелен.,оч.ароматн.). Евро, 2</t>
  </si>
  <si>
    <t>укроп Елочки-сосеночки(ср.ран., облиствен.,ср.разм.,зелен.,сильн.-аромат). Евро, 2</t>
  </si>
  <si>
    <t>укроп Елочки-сосеночки(ср.ран., облиствен.,ср.разм.,зелен.,сильн.-аромат). МФ, 2</t>
  </si>
  <si>
    <t>укроп Зонтик(ср.ран., полураскид.., до 100 см .,ср.рассеч.,зелен.,сильн.-аромат). Евро, 2</t>
  </si>
  <si>
    <t>укроп Кибрай(поздн.спел.,сильнооблиств.,перисто-рассеч.,зелен.,сильн.-аромат). Евро, 2</t>
  </si>
  <si>
    <t>укроп Кибрай(поздн.спел.,сильнооблиств.,перисто-рассеч.,зелен.,сильн.-аромат). МФ, 2</t>
  </si>
  <si>
    <t>I0000015177</t>
  </si>
  <si>
    <t>укроп Королевский(ср.спел., компактн., до 100 см .,сильнорассеч.,кр.разм.,т-зелен.,сильн.-аромат). Евро, 2</t>
  </si>
  <si>
    <t>I0000002406</t>
  </si>
  <si>
    <t>укроп Кустистый(ср.спел., компактн., до 150 см .,сильнооблиствен.,ср.-рассеч.,кр.разм.,зелен.,ароматн.). Евро, 2</t>
  </si>
  <si>
    <t>I0000002407</t>
  </si>
  <si>
    <t>укроп Лесногородский(ср.спел., сильнооблиствен.,рассеч.,кр.разм.,т.-зелен.,ароматн.). Евро, 2</t>
  </si>
  <si>
    <t>укроп Мамонт(ср.спел., компактн., до 100 см .,сильнооблиствен.,ср.-рассеч.,кр.разм.,сер.-зелен.,ароматн.). Евро, 2</t>
  </si>
  <si>
    <t>укроп Мамонт(ср.спел., компактн., до 100 см .,сильнооблиствен.,ср.-рассеч.,кр.разм.,сер.-зелен.,ароматн.). МФ, 2</t>
  </si>
  <si>
    <t>укроп Обильнолистный(ср.спел., компактн., до 130 см .,сильнооблиствен.,сильнорассеч.,ср.разм.,зелен.,ароматн.). Евро, 2</t>
  </si>
  <si>
    <t>укроп Пучковый(ср.спел.,сильнооблиствен.,сильнорассеч.,т.-зелен.,ароматн.). Евро, 2</t>
  </si>
  <si>
    <t>укроп Симфония(ср.спел., раскид., 100-130 см .,сильнооблиствен.,ср.-рассеч.,ср.разм.,зелен.,ароматн.). Евро, 2</t>
  </si>
  <si>
    <t>укроп Симфония(ср.спел., раскид., 100-130 см .,сильнооблиствен.,ср.-рассеч.,ср.разм.,зелен.,ароматн.). МФ, 2</t>
  </si>
  <si>
    <t>укроп Спаржевый букет(ср.спел., мощн.., 110-150 см .,сильнооблиствен.,ср.-рассеч.,ср.разм.,т.-зелен.,ароматн.). Евро, 2</t>
  </si>
  <si>
    <t>укроп Супердукат ОЕ(ран.спел.,облиствен.,рассеч.,ср.разм.,зелен.,ароматн.). Евро, 2</t>
  </si>
  <si>
    <t>укроп Супердукат ОЕ(ран.спел.,облиствен.,рассеч.,ср.разм.,зелен.,ароматн.). МФ, 2</t>
  </si>
  <si>
    <t>укроп Узоры(ср.поздн., ср.рослое,облиствен.,рассеч.,кр.разм.,зелен.,ароматн.). Евро, 2</t>
  </si>
  <si>
    <t>I0000013889</t>
  </si>
  <si>
    <t>укроп Чародей(ср.спел., сильнооблиствен.,сильнорассеч.,т.-зелен.,ароматн.). Евро, 2</t>
  </si>
  <si>
    <t>УРОЖАЙНАЯ ГРЯДКА</t>
  </si>
  <si>
    <t>базилик Гвоздичный УГ. Евро, 0,1</t>
  </si>
  <si>
    <t>горох Динга УГ (лущильн, бобы 9-11 см, 9-10 горошин, дружное созревание). Евро, 5</t>
  </si>
  <si>
    <t>капуста Сизая голубка (К/К)   УГ. Евро, 0,5</t>
  </si>
  <si>
    <t>лук Карантанский (порей)  УГ. Евро, 1</t>
  </si>
  <si>
    <t>лук Нежность (батун)  УГ. Евро, 1</t>
  </si>
  <si>
    <t>перец Золотое чудо  УГ (сладк; ОГ,ПУ, 60-70 см, призмовид, оранж-красн, 150-200 г, толстостен). Евро, 0,2</t>
  </si>
  <si>
    <t>I0000003002</t>
  </si>
  <si>
    <t>пряность Мята Ментол УГ(ср.спел.,многолетн.,зелен./сирен.,прян.-эфирн.,лекарств.,60-70 см.). Евро, 0,05</t>
  </si>
  <si>
    <t>салат Берлинский желтый (кочанный) УГ . Евро, 1</t>
  </si>
  <si>
    <t>салат Краснолистный летний (листовой) УГ . Евро, 0,5</t>
  </si>
  <si>
    <t>томат Ямал 200 УГ (ХИТ! суперск/спел, ОГ, ПУ, дет, штамб, округ, красн, до180г, неприхотл, популярн.). Евро, 0,1</t>
  </si>
  <si>
    <t>укроп Зонтик УГ . Евро, 2</t>
  </si>
  <si>
    <t>физалис Кондитер УГ . Евро, 0,1</t>
  </si>
  <si>
    <t>I0000003066</t>
  </si>
  <si>
    <t>цветок Астра Осенний этюд (китайская, американская кустистая, смесь цветов) УГ. Евро, 0,2</t>
  </si>
  <si>
    <t>I0000003073</t>
  </si>
  <si>
    <t>цветок Календула Пацифик Бьюти (лекарственная, смесь лимонных, желтых и оранжевых оттенков)   УГ. Евро, 0,5</t>
  </si>
  <si>
    <t>щавель Бельвильский УГ . Евро, 0,5</t>
  </si>
  <si>
    <t>УРОЖАЙНАЯ ГРЯДКА (АКЦИЯ)</t>
  </si>
  <si>
    <t>I0000013324</t>
  </si>
  <si>
    <t>земляника Александрина УГ (АКЦИЯ). Евро, 0,04</t>
  </si>
  <si>
    <t>I0000013543</t>
  </si>
  <si>
    <t>цветок Диморфотека Караван (выемчатая, смесь белых, кремовых, оранжевых с темно-коричневым центром)  УГ (АКЦИЯ). Евро, 0,2</t>
  </si>
  <si>
    <t>ФАСОЛЬ</t>
  </si>
  <si>
    <t>фасоль  Аллюр® (спаржевая)(ХИТ! ран.спел.,куст.30-40 см.,узк.,т.зелен.,12-13 см). Евро, 5</t>
  </si>
  <si>
    <t>фасоль Бона (спаржевая)(ран.спел.,раст.30-40 см.,прям.,св.зелен./зерн.бел.,13-16 см). Евро, 5</t>
  </si>
  <si>
    <t>фасоль Инга (зерновая)(ран.раст.40-45 см.,удл.,бел.). Евро, 5</t>
  </si>
  <si>
    <t>фасоль Кухарка Саша (овощная)(ран.спел.,куст.35-40 см.,изогн.,зелен./зерн.сер-желт.,8-12 см). Евро, 5</t>
  </si>
  <si>
    <t>фасоль Лаура® (спаржевая)(ХИТ! ск.спел.,раст..30-40 см.,узк.,св.желт.,11-13 см). Евро, 5</t>
  </si>
  <si>
    <t>фасоль Мечта Хозяйки (овощная)(ср.ран., до 40 см.,плоск.,зелен.,16-18 см). Евро, 5</t>
  </si>
  <si>
    <t>фасоль Нерина (спаржевая)(ран.спел.,до 40 см.,узк.,т.зелен.,14-16 см). Евро, 5</t>
  </si>
  <si>
    <t>I0000015512</t>
  </si>
  <si>
    <t>фасоль Попугай (зерновая,обыкновенная)(ср.спел.,куст.35-40 см.,сл.изогн.,10-13 см). Евро, 5</t>
  </si>
  <si>
    <t>фасоль Романа (овощная)(ср.ран.,куст.до 40 см.,плоск.,зелен.,до16 см). Евро, 5</t>
  </si>
  <si>
    <t>фасоль Рубин (зерновая)(ср.спел.,куст.50-60 см.,крупн.,т.вишн.,10-15 см). Евро, 5</t>
  </si>
  <si>
    <t>фасоль Садовод (зерновая)(ср.ран.,40-45 см.,овал.,кашт.с красн.пятн.). Евро, 5</t>
  </si>
  <si>
    <t>фасоль Сакса (без волокна) 615 (овощная)(ск.спел.,35-40 см.,изогн.,св.-зелен.,9-12 см). Евро, 5</t>
  </si>
  <si>
    <t>фасоль Сахарная лопатка (овощная)(ср.ран.,30-40 см.,плоск.,бел.14-16 см). Евро, 5</t>
  </si>
  <si>
    <t>фасоль Сладкий Кураж (спаржевая)(ск.спел.,куст.30-40 см.,цилиндр.,ярк.-желт.,12-15 см). Евро, 5</t>
  </si>
  <si>
    <t>фасоль Тип-Топ (зерновая)(ран.спел.,40-45 см.,удл.-овал.,черн.с беж.пятн.). Евро, 5</t>
  </si>
  <si>
    <t>фасоль Тип-Топ (зерновая)(ран.спел.,40-45 см.,удл.-овал.,черн.с беж.пятн.). МФ, 5</t>
  </si>
  <si>
    <t>фасоль Удовольствие Вкуса (спаржевая)(ср.спел.,30-40 см.,цилиндр.,св.зелен.,12-14 см). Евро, 5</t>
  </si>
  <si>
    <t>фасоль Удовольствие Вкуса (спаржевая)(ср.спел.,30-40 см.,цилиндр.,св.зелен.,12-14 см). МФ, 5</t>
  </si>
  <si>
    <t>фасоль Услада (зерновая)(ран.спел.,55-65см.,удл.,бел.,12-16 см). Евро, 5</t>
  </si>
  <si>
    <t>фасоль Фантазия (спаржевая)(ран.спел.,30-40 см.,узк.,сахарн.,нежн.,т.зелен.,11-13 см). Евро, 5</t>
  </si>
  <si>
    <t>фасоль Хельда (спаржевая)(ср.ран.,200-250 см.,крупн.,мясист.,сочн.,св.-желт.,20-25 см). Евро, 5</t>
  </si>
  <si>
    <t>фасоль Чародейка (спаржевая)(скороспел.,35-40 см.,мясист.,желт.,14-16 см). Евро, 5</t>
  </si>
  <si>
    <t>фасоль Эврика (зерновая)(ср.ран.,30-40 см.крупн.,бел.). Евро, 5</t>
  </si>
  <si>
    <t>ФЕНХЕЛЬ</t>
  </si>
  <si>
    <t>фенхель  Датский  Король(ран.спел.,перисторассечен.,зелен.,сладк-прян.,прятн.аром.,до 2 м.). Евро, 0,5</t>
  </si>
  <si>
    <t>фенхель Казанова(ср.спел.,плотн.,анис.аром.,100-150 г.). Евро, 0,5</t>
  </si>
  <si>
    <t>фенхель Осенний Красавец(ран.спел.,сильнорассечен.,т.зелен.,сладк.,прятн.аром.,1,5-1,8 м.). Евро, 0,5</t>
  </si>
  <si>
    <t>фенхель Удалец(ср.спел.,ср.плотн.,анис.аром.,115-120 г.). Евро, 0,5</t>
  </si>
  <si>
    <t>ФИЗАЛИС</t>
  </si>
  <si>
    <t>физалис Ананасовый(ср.спел.,желт.65-75 г.вкус ананаса., до 1,5 м.). Евро, 0,1</t>
  </si>
  <si>
    <t>физалис Джемовый(ср.спел.,зелен.,50-60 г.фрукт.аром., до 1,4-1,6 м.). Евро, 0,1</t>
  </si>
  <si>
    <t>физалис Золотая Россыпь земляничный(ран.спел., окр.,желт.-зелен.,3-5 г.кисл-сладк.,клубн.-ананас.аром.,30-35 см). Евро, 0,1</t>
  </si>
  <si>
    <t>физалис Кондитер овощной(ср.ран.,плоск- окр.,желт.-зелен.,30-40 г.кисл-сладк.,60-80 см). Евро, 0,1</t>
  </si>
  <si>
    <t>физалис Королёк овощной(ран.спел., окр.,желт.-зелен.,60-90 г.кисл-сладк.,60-80 см). Евро, 0,1</t>
  </si>
  <si>
    <t>I0000002835</t>
  </si>
  <si>
    <t>физалис Лакомка овощной(ран.спел., окр.,желт.-зелен.,65-80 г.кисл-сладк.,70-75 см). Евро, 0,1</t>
  </si>
  <si>
    <t>физалис Мармеладный(ср.спел., плоскокр.,крем.-зелен.,30-40 г.вкус слив.,1,5 м). Евро, 0,1</t>
  </si>
  <si>
    <t>ХРИЗАНТЕМА ОВОЩНАЯ</t>
  </si>
  <si>
    <t>хризантема Дебют(овощн.)(ср.поздн.,выс.70-100 см.,диам.роз.30-35 см.,рассечен.,серо-зелен.,нежн.вкус.,приятн.аром.). Евро, 0,5</t>
  </si>
  <si>
    <t>хризантема Жозефина(овощн.)(ран.спел.,выс.60-80 см.,диам.роз.до 30 см.,рассечен.,изумр-зелен.,нежн.вкус.,приятн.аром.) . Евро, 0,5</t>
  </si>
  <si>
    <t>ЦВЕТЫ</t>
  </si>
  <si>
    <t>цветок Агератум Голубая сказка (мексиканский, сиренево-голубой) . Евро, 0,1</t>
  </si>
  <si>
    <t>цветок Агератум Эллада (мексиканский, белый) . Евро, 0,1</t>
  </si>
  <si>
    <t>цветок Адонис Красная шапочка (летний, красный) . Евро, 1</t>
  </si>
  <si>
    <t>цветок Азарина Фантазия (лазающая, окраска белая, розовая, фиолетовая) . Евро, 0,01</t>
  </si>
  <si>
    <t>цветок Аквилегия Белая звезда (вид: голубая, белая) . Евро, 0,1</t>
  </si>
  <si>
    <t>цветок Аквилегия Восточная сладость (вид: обыкновенная, нежно бело-лимонная) . Евро, 0,06</t>
  </si>
  <si>
    <t>цветок Аквилегия Голубая звезда (вид: голубая, цвет: голубая) . Евро, 0,1</t>
  </si>
  <si>
    <t>цветок Аквилегия Красная звезда (вид: голубая, цвет: алая) . Евро, 0,05</t>
  </si>
  <si>
    <t>цветок Аквилегия Нимфа (гибридная, окраска белая, золотисто-желтая, розовая, сиреневая, синяя) . Евро, 0,05</t>
  </si>
  <si>
    <t>цветок Аквилегия Розовая королева (гибридная, розовая) . Евро, 0,05</t>
  </si>
  <si>
    <t>цветок Аквилегия Сонгбира (вид: голубая, окраска белая, золотисто-желтая, розовая, сиреневая, синяя) . Евро, 0,05</t>
  </si>
  <si>
    <t>цветок Акроклинум Виртуоз (вид: розовый, смесь белого или розового окраса) . Евро, 0,1</t>
  </si>
  <si>
    <t>цветок Алиссум Версаль (морской, пурпурно-фиолетовый). Евро, 0,1</t>
  </si>
  <si>
    <t>цветок Алиссум Ночка (морской, насыщенно-фиолетовый). Евро, 0,1</t>
  </si>
  <si>
    <t>цветок Алиссум Снежный ковер (морской, белый) . Евро, 0,1</t>
  </si>
  <si>
    <t>цветок Амарант Бисквит (метельчатый, кремово-оранжевый) . Евро, 0,05</t>
  </si>
  <si>
    <t>цветок Амарант Кеша (вид: трехцветный, окраска листьев от тёмно-зелёного до ярко-желтого) . Евро, 0,1</t>
  </si>
  <si>
    <t>цветок Амарант Молтен файер (вид: двуцветный, окраска листьев красно-малиновая и шоколадно-коричневая) . Евро, 0,25</t>
  </si>
  <si>
    <t>цветок Амарант Половецкие пляски (вид: трехцветный, окраска листьев светло-зеленый, желтый и красный) . Евро, 0,1</t>
  </si>
  <si>
    <t>цветок Амарант Танец огня (хвостатый, соцветия-метелки малиновые или темно-красные) . Евро, 0,1</t>
  </si>
  <si>
    <t>цветок Амми Вулкан (вид: большая, белый). Евро, 0,1</t>
  </si>
  <si>
    <t>цветок Аммобиум Звездопад (крылатый, серебристо-белый) . Евро, 0,2</t>
  </si>
  <si>
    <t>цветок Антемис Солнечная поляна (вид: пупавка красильная, желтый) . Евро, 0,2</t>
  </si>
  <si>
    <t>цветок Арабис Встреча (альпийский, розовый) . Евро, 0,1</t>
  </si>
  <si>
    <t>цветок Арабис Лапландия (альпийский, белый) . Евро, 0,1</t>
  </si>
  <si>
    <t>цветок Армерия Элегия (приморская, лилово-розовая) . Евро, 0,1</t>
  </si>
  <si>
    <t>цветок Аспарагус Абу-Даби (вид: перистый, цветки белые). Евро, 0,1</t>
  </si>
  <si>
    <t>цветок Астра Аве, Мария (китайская, маделин, темно-гранатово-красная) . Евро, 0,2</t>
  </si>
  <si>
    <t>цветок Астра Австрийское перо (китайская, смесь цветов). Евро, 0,25</t>
  </si>
  <si>
    <t>цветок Астра Алёнка (китайская, карликовая королевская, ярко-розовая) . Евро, 0,2</t>
  </si>
  <si>
    <t>цветок Астра Ангелина (китайская, пионовидная, розовая) . Евро, 0,1</t>
  </si>
  <si>
    <t>цветок Астра Андрелла (китайская, маделин, смесь цветов) . Евро, 0,2</t>
  </si>
  <si>
    <t>цветок Астра Анита (китайская, помпонная  густо-красная с белым центром) . Евро, 0,2</t>
  </si>
  <si>
    <t>цветок Астра Анна (китайская, страусово перо, красная) . Евро, 0,2</t>
  </si>
  <si>
    <t>цветок Астра Антарктида (китайская, карликовая королевская, снежно-белая) . Евро, 0,2</t>
  </si>
  <si>
    <t>цветок Астра Афина (китайская, художественная, нежно-аметистовая) . Евро, 0,2</t>
  </si>
  <si>
    <t>цветок Астра Багира (китайская, пионовидная, темно-бордовая с блеском) . Евро, 0,2</t>
  </si>
  <si>
    <t>цветок Астра Баллада (китайская, принцесса, фиолетовая с белым центром). Евро, 0,2</t>
  </si>
  <si>
    <t>цветок Астра Барни (китайская, страусово перо, темно-синяя) . Евро, 0,2</t>
  </si>
  <si>
    <t>цветок Астра Белое солнце (китайская, принцесса, белоснежная) . Евро, 0,2</t>
  </si>
  <si>
    <t>цветок Астра Бирюсинка (китайская, принцесса, голубая) . Евро, 0,2</t>
  </si>
  <si>
    <t>цветок Астра Боретта (китайская, принцесса, амарантово-красная) . Евро, 0,2</t>
  </si>
  <si>
    <t>цветок Астра Букет (китайская, принцесса, смесь цветов) . Евро, 0,2</t>
  </si>
  <si>
    <t>цветок Астра Вайолеттер красная (китайская, пионовидная, красная) . Евро, 0,1</t>
  </si>
  <si>
    <t>цветок Астра Вайолеттер фиолетовая (китайская, пионовидная, фиолетовая) . Евро, 0,2</t>
  </si>
  <si>
    <t>цветок Астра Варенька (китайская, помпонная, кроваво-бордовая) . Евро, 0,2</t>
  </si>
  <si>
    <t>цветок Астра Варшавянка (китайская, анемоновидная, светло-серебристо-розовая) . Евро, 0,2</t>
  </si>
  <si>
    <t>цветок Астра Василиса (китайская, пионовидная, розовая) . Евро, 0,2</t>
  </si>
  <si>
    <t>цветок Астра Вероника (китайская, принцесса, фиолетово-пурпурная с бело-желтым центром) . Евро, 0,2</t>
  </si>
  <si>
    <t>цветок Астра Верочка (китайская, художественная, желтая) . Евро, 0,2</t>
  </si>
  <si>
    <t>цветок Астра Веснянка (китайская, помпонная, розовая) . Евро, 0,2</t>
  </si>
  <si>
    <t>цветок Астра Вечер грёз (китайская, пионовидная, фиолетовая) . Евро, 0,2</t>
  </si>
  <si>
    <t>цветок Астра Вихрь (китайская, художественная, синяя) . Евро, 0,2</t>
  </si>
  <si>
    <t>цветок Астра Воронежская голубая (китайская, виктория, голубая) . Евро, 0,2</t>
  </si>
  <si>
    <t>цветок Астра Выпускница (китайская, пионовидная, чисто-белая) . Евро, 0,2</t>
  </si>
  <si>
    <t>цветок Астра Голиаф (альпийская, голубая) . Евро, 0,1</t>
  </si>
  <si>
    <t>цветок Астра Голубка (китайская, принцесса, розовая). Евро, 0,2</t>
  </si>
  <si>
    <t>цветок Астра Гольдшатц (китайская, пионовидная, кремово-лососевая) . Евро, 0,2</t>
  </si>
  <si>
    <t>цветок Астра Графиня (китайская, пионовидная, пурпурно-лиловая) . Евро, 0,2</t>
  </si>
  <si>
    <t>цветок Астра Грета (китайская, принцесса, розовая) . Евро, 0,2</t>
  </si>
  <si>
    <t>цветок Астра Дарьюшка (китайская, карликовая королевская, насыщенно-розовая) . Евро, 0,2</t>
  </si>
  <si>
    <t>цветок Астра День рождения (китайская, смесь видов, всевозможные расцветки) . Евро, 0,2</t>
  </si>
  <si>
    <t>цветок Астра Джайнт Мом (китайская, пионовидная, смесь белой, розовой, малиновой, голубой окраски) . Евро, 0,2</t>
  </si>
  <si>
    <t>цветок Астра Душечка (китайская, принцесса, розовая) . Евро, 0,2</t>
  </si>
  <si>
    <t>цветок Астра Заря Востока (китайская, пионовидная, рубиново-красная) . Евро, 0,2</t>
  </si>
  <si>
    <t>цветок Астра Звёздочка (китайская, игольчатая, красная) . Евро, 0,2</t>
  </si>
  <si>
    <t>цветок Астра Золотые купола (китайская, анемоновидная, ярко-желтая) . Евро, 0,2</t>
  </si>
  <si>
    <t>цветок Астра Иллирия (альпийская, смесь голубого, сиреневого, розового, белого цвета) . Евро, 0,12</t>
  </si>
  <si>
    <t>цветок Астра Именинница (китайская, пионовидная, розовая) . Евро, 0,2</t>
  </si>
  <si>
    <t>цветок Астра Импрессия (китайская, игольчатая, темно-фиолетовая) . Евро, 0,2</t>
  </si>
  <si>
    <t>цветок Астра Инга (китайская, игольчатая, пурпурно-розовая) . Евро, 0,2</t>
  </si>
  <si>
    <t>цветок Астра Ингрид (китайская, виктория баум, нежно-голубая) . Евро, 0,2</t>
  </si>
  <si>
    <t>цветок Астра Иней (китайская, пионовидная, серебристо-синяя)  . Евро, 0,2</t>
  </si>
  <si>
    <t>цветок Астра Ирида (китайская, игольчатая, насыщенно-розовая) . Евро, 0,2</t>
  </si>
  <si>
    <t>цветок Астра Иринка (китайская, игольчатая, ярко-розовая) . Евро, 0,2</t>
  </si>
  <si>
    <t>цветок Астра Искорка (китайская, карликовая королевская, малиново-розовая) . Евро, 0,2</t>
  </si>
  <si>
    <t>I0000015127</t>
  </si>
  <si>
    <t>цветок Астра Какаду (Пионовидная смесь). Евро, 0,2</t>
  </si>
  <si>
    <t>цветок Астра Камео (китайская, художественная, темно-розовая) . Евро, 0,2</t>
  </si>
  <si>
    <t>цветок Астра Капельмейстер (китайская, художественная, темно-фиолетовая) . Евро, 0,2</t>
  </si>
  <si>
    <t>цветок Астра Катенька (китайская, принцесса, голубая) . Евро, 0,2</t>
  </si>
  <si>
    <t>цветок Астра Керубино (китайская, игольчатая, нежно-розовая) . Евро, 0,2</t>
  </si>
  <si>
    <t>цветок Астра Клаудиа (китайская, виктория баум, светло-лососевая) . Евро, 0,2</t>
  </si>
  <si>
    <t>цветок Астра Клоунада (китайская, виктория баум, смесь цветов) . Евро, 0,2</t>
  </si>
  <si>
    <t>цветок Астра Клоунесса (китайская, игольчатая, светло-розовая) . Евро, 0,2</t>
  </si>
  <si>
    <t>цветок Астра Княжна Мэри (китайская, ривьера, белоснежная) . Евро, 0,2</t>
  </si>
  <si>
    <t>цветок Астра Коктейль (китайская, карликовая королевская, смесь цветов) . Евро, 0,2</t>
  </si>
  <si>
    <t>цветок Астра Колор карпет (китайская, карликовая королевская, смесь цветов) . Евро, 0,2</t>
  </si>
  <si>
    <t>цветок Астра Королева рынка (китайская, королева рынка, смесь цветов) . Евро, 0,2</t>
  </si>
  <si>
    <t>цветок Астра Краля (китайская, игольчатая, розовая) . Евро, 0,2</t>
  </si>
  <si>
    <t>цветок Астра Кузина (китайская, игольчатая, белая) . Евро, 0,2</t>
  </si>
  <si>
    <t>цветок Астра Лайма (китайская, игольчатая, сиреневая) . Евро, 0,2</t>
  </si>
  <si>
    <t>цветок Астра Лариса (китайская, карликовая королевская, розово-бежевая) . Евро, 0,2</t>
  </si>
  <si>
    <t>цветок Астра Лизавета (китайская, художественная, серебристо-розовая) . Евро, 0,2</t>
  </si>
  <si>
    <t>цветок Астра Люся(китайская, ривьера, темно-сиреневая) . Евро, 0,2</t>
  </si>
  <si>
    <t>цветок Астра Мадам Бовари (китайская, пионовидная, темно-красная) . Евро, 0,1</t>
  </si>
  <si>
    <t>цветок Астра Макияж (китайская, пионовидная, густо-малиновая, розовая и бело-розовая) . Евро, 0,2</t>
  </si>
  <si>
    <t>цветок Астра Маринка (китайская, принцесса, темно-синяя с бело-желтым центром) . Евро, 0,2</t>
  </si>
  <si>
    <t>цветок Астра Машенька (китайская, принцесса, белоснежная) . Евро, 0,2</t>
  </si>
  <si>
    <t>цветок Астра Медея (китайская, игольчатая, розово-сиреневая с белым центром) . Евро, 0,2</t>
  </si>
  <si>
    <t>цветок Астра Метеор (китайская, пионовидная, красная) . Евро, 0,2</t>
  </si>
  <si>
    <t>цветок Астра Миледи (китайская, пионовидная, бело-голубая) . Евро, 0,2</t>
  </si>
  <si>
    <t>цветок Астра Мистика (китайская, игольчатая, нежно-сиреневая серебристая) Касторама. Евро, 0,2</t>
  </si>
  <si>
    <t>цветок Астра Мюзикл (китайская, игольчатая, смесь цветов)  . Евро, 0,2</t>
  </si>
  <si>
    <t>цветок Астра Наина (китайская, игольчатая, нежно-кремово-розовая) . Евро, 0,2</t>
  </si>
  <si>
    <t>цветок Астра Настасья (китайская, карликовая королевская, ярко-красная) . Евро, 0,2</t>
  </si>
  <si>
    <t>цветок Астра Настенька (китайская, карликовая королевская, нежно-розовая) . Евро, 0,2</t>
  </si>
  <si>
    <t>цветок Астра Нина (китайская, простая, ярко-красная, алая) . Евро, 0,2</t>
  </si>
  <si>
    <t>цветок Астра Нюсия (китайская, принцесса, светло-розовая) . Евро, 0,2</t>
  </si>
  <si>
    <t>цветок Астра Озеро (китайская, виктория, голубая) . Евро, 0,1</t>
  </si>
  <si>
    <t>цветок Астра Океан желаний (китайская, пионовидная, синяя с серебристым центром) . Евро, 0,1</t>
  </si>
  <si>
    <t>цветок Астра Оленька (китайская, хризантемовидная, малиново-розовая) . Евро, 0,25</t>
  </si>
  <si>
    <t>цветок Астра Опалфойер (китайская, пионовидная, темно-красная) . Евро, 0,2</t>
  </si>
  <si>
    <t>цветок Астра Осенний этюд (китайская, американская кустистая, смесь цветов) . Евро, 0,2</t>
  </si>
  <si>
    <t>цветок Астра Палитра (китайская, страусово перо, смесь цветов) . Евро, 0,2</t>
  </si>
  <si>
    <t>цветок Астра Память (китайская, игольчатая, жёлтая) . Евро, 0,2</t>
  </si>
  <si>
    <t>цветок Астра Пастораль (китайская, пионовидная, темно-бордовая) . Евро, 0,25</t>
  </si>
  <si>
    <t>цветок Астра Пастушок (китайская, страусово перо, светло-голубая). Евро, 0,2</t>
  </si>
  <si>
    <t>цветок Астра Полина Виардо (китайская, пионовидная, темно-фиолетовая с проседью) . Евро, 0,2</t>
  </si>
  <si>
    <t>цветок Астра Полька (китайская, пионовидная, бело-голубая) . Евро, 0,25</t>
  </si>
  <si>
    <t>цветок Астра Полюшко (китайская, карликовая королевская, синяя) . Евро, 0,2</t>
  </si>
  <si>
    <t>цветок Астра Праздник детства (китайская, страусово перо, сиреневая) . Евро, 0,2</t>
  </si>
  <si>
    <t>цветок Астра Принцесса (китайская, принцесса, смесь цветов) . Евро, 0,2</t>
  </si>
  <si>
    <t>цветок Астра Принцесса Карина (китайская, принцесса, белоснежная с желтым центром) . Евро, 0,2</t>
  </si>
  <si>
    <t>цветок Астра Принцесса Офелия (китайская, принцесса, кремово-жёлтая) . Евро, 0,2</t>
  </si>
  <si>
    <t>цветок Астра Причуда (китайская, гибридная, белая с ярко-малиновыми кончиками лепестков) . Евро, 0,2</t>
  </si>
  <si>
    <t>цветок Астра Пушинка (китайская, игольчатая, белоснежная) . Евро, 0,2</t>
  </si>
  <si>
    <t>цветок Астра Радуница (китайская, принцесса, белая с розовым оттенком и желтым центром). Евро, 0,2</t>
  </si>
  <si>
    <t>цветок Астра Рашель (китайская, хризантемовидная, темно-пурпурная) . Евро, 0,2</t>
  </si>
  <si>
    <t>цветок Астра Регина (китайская, игольчатая, сиреневая) . Евро, 0,2</t>
  </si>
  <si>
    <t>цветок Астра Рейнбоу (китайская, простая, смесь цветов) . Евро, 0,2</t>
  </si>
  <si>
    <t>цветок Астра Роксалана (китайская, игольчатая, сиренево-розовая) . Евро, 0,2</t>
  </si>
  <si>
    <t>цветок Астра Сабина (китайская, виктория баум, нежно-розовая) . Евро, 0,2</t>
  </si>
  <si>
    <t>цветок Астра Сандра (китайская, принцесса, сиренево-розовая) . Евро, 0,2</t>
  </si>
  <si>
    <t>цветок Астра Санта Лючия (китайская, игольчатая, кремовая) . Евро, 0,2</t>
  </si>
  <si>
    <t>цветок Астра Сапфировое пламя (китайская, игольчатая, серебристо-сиреневая) . Евро, 0,2</t>
  </si>
  <si>
    <t>цветок Астра Сара Бернар (китайская, хризантемовидная, розовая) . Евро, 0,2</t>
  </si>
  <si>
    <t>цветок Астра Снегурочка (китайская, карликовая королевская, белоснежная) . Евро, 0,2</t>
  </si>
  <si>
    <t>цветок Астра Снежная королева (китайская, пионовидная, белоснежная) . Евро, 0,1</t>
  </si>
  <si>
    <t>цветок Астра Снежные вершины (китайская, страусово перо, белая) . Евро, 0,2</t>
  </si>
  <si>
    <t>цветок Астра Соната китайская, пионовидная, кремовая) . Евро, 0,2</t>
  </si>
  <si>
    <t>цветок Астра Софочка (китайская, помпонная, темно-фиолетовая) . Евро, 0,2</t>
  </si>
  <si>
    <t>цветок Астра Сперанца (китайская, игольчатая, малиновая) . Евро, 0,25</t>
  </si>
  <si>
    <t>цветок Астра Сцилла (китайская, коготковая, розово-лиловая) . Евро, 0,2</t>
  </si>
  <si>
    <t>цветок Астра Тарантелла (китайская, карликовая королевская, смесь цветов) . Евро, 0,1</t>
  </si>
  <si>
    <t>цветок Астра Травиата (китайская, принцесса, красная) . Евро, 0,2</t>
  </si>
  <si>
    <t>цветок Астра Тянь-Шанская красавица (китайская, пионовидная, белая) . Евро, 0,2</t>
  </si>
  <si>
    <t>цветок Астра Уникум (китайская, уникум, смесь цветов) . Евро, 0,2</t>
  </si>
  <si>
    <t>цветок Астра Утренняя звезда (китайская, игольчатая, белая) . Евро, 0,2</t>
  </si>
  <si>
    <t>цветок Астра Утро туманное (китайская, пионовидная, чернильно-фиолетовая)  . Евро, 0,2</t>
  </si>
  <si>
    <t>цветок Астра Фламинго (китайская, пионовидная, нежно-розовая) . Евро, 0,2</t>
  </si>
  <si>
    <t>цветок Астра Фокстрот (китайская, принцесса, смесь цветов) . Евро, 0,2</t>
  </si>
  <si>
    <t>цветок Астра Хельга (китайская, виктория баум, темно-синяя) . Евро, 0,2</t>
  </si>
  <si>
    <t>цветок Астра Цирцея (китайская, принцесса, голубая) . Евро, 0,2</t>
  </si>
  <si>
    <t>цветок Астра Шанель (китайская, пионовидная, серебристо-синяя) . Евро, 0,2</t>
  </si>
  <si>
    <t>цветок Астра Шиншила (китайская, художественная, лососево-розовая) . Евро, 0,2</t>
  </si>
  <si>
    <t>цветок Астра Эврика (альпийская, белая) . Евро, 0,1</t>
  </si>
  <si>
    <t>цветок Астра Элеонора (китайская, красная) . Евро, 0,2</t>
  </si>
  <si>
    <t>цветок Астра Эльвира (китайская, пионовидная, тёмно-голубая с серебристым налетом) . Евро, 0,2</t>
  </si>
  <si>
    <t>цветок Астра Эмма (китайская, виктория баум, розовая)  . Евро, 0,2</t>
  </si>
  <si>
    <t>цветок Астра Эсмеральда (китайская, пионовидная, розовая) . Евро, 0,2</t>
  </si>
  <si>
    <t>цветок Астра Юлия (китайская, игольчатая, лилово-голубая) . Евро, 0,2</t>
  </si>
  <si>
    <t>цветок Астра Юность (китайская, художественная, светло-розовая) . Евро, 0,2</t>
  </si>
  <si>
    <t>цветок Астра Яблунева (китайская, пионовидная, бело- сиренево-розовая, насыщенно-розовая) . Евро, 0,2</t>
  </si>
  <si>
    <t>цветок Астра Янина (китайская, пионовидная, нежно-розово-лососевая) . Евро, 0,1</t>
  </si>
  <si>
    <t>цветок Аубреция Амазонка (вид: обриета гибридная, розово-фиолетовый) . Евро, 0,1</t>
  </si>
  <si>
    <t>цветок Аубреция Ксения (вид: обриета гибридная, темно-фиолетовый) . Евро, 0,1</t>
  </si>
  <si>
    <t>цветок Ахиллея Вирджиния (вид: тысячелистник обыкновенный, соцветия белой, розовой, красной и малиновой окраски) . Евро, 0,05</t>
  </si>
  <si>
    <t>цветок Ахиллея Жемчужина  (вид: тысячелистник птармика, белый) . Евро, 0,1</t>
  </si>
  <si>
    <t>цветок Базелла Заморский гость (вид: красная, листья и побеги красные, цветки белые) . Евро, 0,25</t>
  </si>
  <si>
    <t>цветок Бальзамин Сандра (садовый, сиреневый) . Евро, 0,2</t>
  </si>
  <si>
    <t>цветок Бальзамин Сафари (гибридный валлера, смесь цветов) . Евро, 0,05</t>
  </si>
  <si>
    <t>цветок Бальзамин Том Там (садовый, смесь цветов) . Евро, 0,2</t>
  </si>
  <si>
    <t>I0000014163</t>
  </si>
  <si>
    <t>Ривьера</t>
  </si>
  <si>
    <t>цветок Барвинок (винка) Беллини F1 (вид: ривьера, лососево-розовый с бело-розовым центром) . Евро, 5</t>
  </si>
  <si>
    <t>I0000014161</t>
  </si>
  <si>
    <t>цветок Барвинок (винка) Божоле F1 (вид: ривьера, розово-алый) ИТАЛИЯ. Евро, 5</t>
  </si>
  <si>
    <t>I0000014162</t>
  </si>
  <si>
    <t>цветок Барвинок (винка) Гран Крю F1 (вид: ривьера, насыщенно-розово-лиловый) ИТАЛИЯ. Евро, 5</t>
  </si>
  <si>
    <t>I0000014165</t>
  </si>
  <si>
    <t>цветок Барвинок (винка) Пино Нуар F1 (вид: ривьера, темно-фиолетовый с бело-малиновым центром) ИТАЛИЯ. Евро, 5</t>
  </si>
  <si>
    <t>I0000014164</t>
  </si>
  <si>
    <t>цветок Барвинок (винка) Черри Джус F1 (ривьера, ярко-вишнево-красный) ИТАЛИЯ. Евро, 5</t>
  </si>
  <si>
    <t>цветок Бартония Золотая корона (вид: золотистая, цвет: золотистая) . Евро, 0,2</t>
  </si>
  <si>
    <t>цветок Бегония Изольда F1 (клубневая, ампельная, ярко-желтая) . Евро, 10</t>
  </si>
  <si>
    <t>цветок Бегония Птенчик F1 (вечноцветущая, светло-розовая) . Евро, 10</t>
  </si>
  <si>
    <t>цветок Бегония Пьеро (клубневая, крупноцветковая, лососевая) . Евро, 10</t>
  </si>
  <si>
    <t>цветок Беламканда (леопардовая лилия) Неженка (китайская, ярко-оранжевая с красным крапом). Евро, 0,2</t>
  </si>
  <si>
    <t>цветок Брахикома Вальс (вид: иберисолистная, смесь розовой, белой, голубой окраски) . Евро, 0,1</t>
  </si>
  <si>
    <t>цветок Бриза Аллегро (вид: максима или трясунка большая, цветение: метёлка). Евро, 0,5</t>
  </si>
  <si>
    <t>цветок Броваллия Верность (американская, небесно-голубая) . Евро, 0,1</t>
  </si>
  <si>
    <t>цветок Бусенник Креолка (вид: обыкновенный) . Евро, 1</t>
  </si>
  <si>
    <t>цветок Василек Адигель (вид: синий, цвет: белоснежный) . Евро, 0,5</t>
  </si>
  <si>
    <t>цветок Василек Голубая диадема (вид: синий, цвет: небесно-голубой) . Евро, 0,5</t>
  </si>
  <si>
    <t>цветок Василек Зарево (вид: синий, цвет: ярко-розовый) . Евро, 0,5</t>
  </si>
  <si>
    <t>цветок Василек Ностальгия  (вид: шероховатый, пурпурно-фиолетовый) . Евро, 0,5</t>
  </si>
  <si>
    <t>цветок Василек Фаворит (душистый, империалис, смесь цветов) . Евро, 0,5</t>
  </si>
  <si>
    <t>цветок Василек Эмир (крупноголовчатый, ярко-желтый) . Евро, 0,3</t>
  </si>
  <si>
    <t>цветок Ваточник Горжетка (сирийский, лилово-розовый) . Евро, 0,05</t>
  </si>
  <si>
    <t>цветок Ваточник Магараджа (вид: туберозовый, насыщенно-оранжевый) . Евро, 0,05</t>
  </si>
  <si>
    <t>цветок Венидиум Амаретто (пышный, оранжевый с пурпурно-коричневым центром) . Евро, 0,1</t>
  </si>
  <si>
    <t>цветок Вербаскум (коровяк) Гирлянда  (вид: фиолетовый, смесь белых, розовых, сиреневых цветов) . Евро, 0,1</t>
  </si>
  <si>
    <t>цветок Вербейник Златовласка (точечный, желтый) . Евро, 0,1</t>
  </si>
  <si>
    <t>цветок Вербена Идеал (гибридная, смесь цветов) . Евро, 0,1</t>
  </si>
  <si>
    <t>цветок Вербена Санта-Анна (гибридная, низкорослая, розовая) . Евро, 0,1</t>
  </si>
  <si>
    <t>цветок Вербена Санта-Каталина (гибридная, низкорослая, абрикосово-розовая с желтым центром) . Евро, 0,05</t>
  </si>
  <si>
    <t>цветок Вербена Сиреневые росы (тонкорассечённая, лиловая) . Евро, 0,1</t>
  </si>
  <si>
    <t>I0000014176</t>
  </si>
  <si>
    <t>Виттрока АКВАРЕЛЬ</t>
  </si>
  <si>
    <t>цветок Виола Адель F1 (вид: витрокка, серия: акварель, бело-розовая с бордовым центром) ИТАЛИЯ . Евро, 5</t>
  </si>
  <si>
    <t>I0000014174</t>
  </si>
  <si>
    <t>цветок Виола Годжи F1 (вид: витрокка, серия: акварель, красно-желтая с розово-малиновой каймой)  . Евро, 5</t>
  </si>
  <si>
    <t>I0000014173</t>
  </si>
  <si>
    <t>Виттрока</t>
  </si>
  <si>
    <t>цветок Виола Джоли F1 (вид: витрокка, серия: петит, бело-сиреневые с черным основанием)  . Евро, 5</t>
  </si>
  <si>
    <t>I0000014169</t>
  </si>
  <si>
    <t>цветок Виола Кот Д'Азур F1 (гибрид видов: витрокка и рогатая, серия: пандора, небесно-лазурная с темно-фиолетовыми штрихами и ярко-желтым центром) . Евро, 5</t>
  </si>
  <si>
    <t>I0000014182</t>
  </si>
  <si>
    <t>Виттрока Гофрированные лепестки КЬЯНТИ</t>
  </si>
  <si>
    <t>цветок Виола Кьянти F1 (вид: витрокка, серия: кьянти, палитра гранатового, лососевого, красного, розового оттенков) ИТАЛИЯ . Евро, 10</t>
  </si>
  <si>
    <t>I0000014166</t>
  </si>
  <si>
    <t>Рогатая ВАЛЕНТИНА</t>
  </si>
  <si>
    <t>цветок Виола Лагуна F1 (вид: рогатая, серия: валентина, бело- и темно-сиреневые с ярко-желтым глазком) ИТАЛИЯ . Евро, 5</t>
  </si>
  <si>
    <t>I0000014167</t>
  </si>
  <si>
    <t>Виттрока*Рогатая ПАНДОРА</t>
  </si>
  <si>
    <t>цветок Виола Мон Амур F1 (гибрид видов: витрокка и рогатая, серия: пандора, красно-розовая с темно-бордовыми пятнами и темными штрихами) ИТАЛИЯ. Евро, 5</t>
  </si>
  <si>
    <t>I0000014181</t>
  </si>
  <si>
    <t>Виттрока ИТАЛИЯ</t>
  </si>
  <si>
    <t>цветок Виола Мэджик F1 (вид: витрокка, серия: италия, пурпурно-розовая с темными штрихами и желтым центром) ИТАЛИЯ. Евро, 5</t>
  </si>
  <si>
    <t>I0000014180</t>
  </si>
  <si>
    <t>Виттрока РОНДО</t>
  </si>
  <si>
    <t>цветок Виола Ниагара F1 (вид: витрокка, серия: рондо, бело-сине-голубая с ярко-желтым центром и темно-синими штрихами) ИТАЛИЯ. Евро, 5</t>
  </si>
  <si>
    <t>I0000014187</t>
  </si>
  <si>
    <t>цветок Виола Песчаный берег F1 (вид: витрокка, серия: рондо, темно-бардовая и ярко-желтая с темно-бардовыми пятнами)  . Евро, 5</t>
  </si>
  <si>
    <t>I0000014168</t>
  </si>
  <si>
    <t>цветок Виола Пинки Пай F1 (гибрид видов: витрокка и рогатая, серия: пандора, нежно-розовая с бордовыми пятнами и темными штрихами, с ярко-желтым центром) ИТАЛИЯ. Евро, 5</t>
  </si>
  <si>
    <t>I0000014170</t>
  </si>
  <si>
    <t>цветок Виола Рината F1 (гибрид видов: витрокка и рогатая, серия: пандора, ярко-желтая с темно-бордовыми пятнами и длинными штрихами) ИТАЛИЯ. Евро, 5</t>
  </si>
  <si>
    <t>I0000014177</t>
  </si>
  <si>
    <t>цветок Виола Руби Роуз F1 (вид: витрокка, серия: акварель, бело-розово-малиновая с темно-малиновыми пятнами с белой каймой и желтым центром) ИТАЛИЯ. Евро, 5</t>
  </si>
  <si>
    <t>I0000014183</t>
  </si>
  <si>
    <t>Виттрока Гофрированные лепестки АВРОРА</t>
  </si>
  <si>
    <t>цветок Виола Санрайз F1 (вид: витрокка, серия: аврора, насыщенно-желтая с темно-синей каймой, черными пятнами и крупными штрихами) ИТАЛИЯ. Евро, 10</t>
  </si>
  <si>
    <t>I0000014179</t>
  </si>
  <si>
    <t>цветок Виола Табаско F1 (вид: витрокка, серия: рондо, насыщенно-красная с ярко желтым глазком и тонкими штришками) ИТАЛИЯ. Евро, 5</t>
  </si>
  <si>
    <t>I0000014172</t>
  </si>
  <si>
    <t>цветок Виола Феерия F1 (гибрид видов: витрокка и рогатая, серия: пандора, от желто-оранжевых до розово-красно-бордовых оттенков)  . Евро, 5</t>
  </si>
  <si>
    <t>I0000014186</t>
  </si>
  <si>
    <t>Виттрока КАН КАН</t>
  </si>
  <si>
    <t>цветок Виола Цирк дю Солей F1 (вид: витрокка, серия: кан кан, оттенки желтые, розовые, сиреневые, темно-бардовые с крупными пятнами, штрихами и обводками) ИТАЛИЯ. Евро, 5</t>
  </si>
  <si>
    <t>I0000014185</t>
  </si>
  <si>
    <t>Виттрока ФЛАМЕНКО</t>
  </si>
  <si>
    <t>цветок Виола Шакира F1 (вид: витрокка, серия: фламенко, окраска многообразная) ИТАЛИЯ. Евро, 5</t>
  </si>
  <si>
    <t>I0000014178</t>
  </si>
  <si>
    <t>цветок Виола Энигма F1 (вид: витрокка, серия: рондо, пурпурно-малиновая с ярко-желтым глазком и тонкими штришками) ИТАЛИЯ. Евро, 5</t>
  </si>
  <si>
    <t>цветок Вискария Джамбо (глазковая, смесь белых, розовых, лавандовых, синих цветов) . Евро, 0,1</t>
  </si>
  <si>
    <t>цветок Володушка Лесная дива (вид: гриффити, золотисто-желтая) . Евро, 0,25</t>
  </si>
  <si>
    <t>цветок Газания Откровение (вид: блестящая, смесь кремовая, желтая, оранжевая, красно-коричневая) . Евро, 0,1</t>
  </si>
  <si>
    <t>цветок Гайлардия Гелиос (остистая, смесь желтая, оранжевая, медно-красная) . Евро, 0,2</t>
  </si>
  <si>
    <t>цветок Гайлардия Рондо (вид: красивая, желтая и красно-коричневая) . Евро, 0,2</t>
  </si>
  <si>
    <t>цветок Гайлардия Солнечный остров (вид: красивая, кремово-белая) . Евро, 0,05</t>
  </si>
  <si>
    <t>цветок Гвоздика Амур (амурская, сиренево-розовая) . Евро, 0,1</t>
  </si>
  <si>
    <t>цветок Гвоздика Веста (китайская, смесь от нежно-розовых до пурпурно-розовых и красных тонов) . Евро, 0,25</t>
  </si>
  <si>
    <t>цветок Гвоздика Горный рассвет (альпийская, альвуда, бледно-розовая) . Евро, 0,1</t>
  </si>
  <si>
    <t>цветок Гвоздика Гренада (садовая, шабо, темно-оранжево-красная) . Евро, 0,1</t>
  </si>
  <si>
    <t>цветок Гвоздика Кабаре (садовая, смесь цветов) . Евро, 0,1</t>
  </si>
  <si>
    <t>цветок Гвоздика Касабланка (турецкая, малиново-красная с белым глазком) . Евро, 0,3</t>
  </si>
  <si>
    <t>цветок Гвоздика Краковяк (перистая, смесь розовых тонов) . Евро, 0,05</t>
  </si>
  <si>
    <t>цветок Гвоздика Кукла Долли (китайская, геддевига, смесь цветов) . Евро, 0,5</t>
  </si>
  <si>
    <t>цветок Гвоздика Маргарита (садовая, смесь цветов) . Евро, 0,1</t>
  </si>
  <si>
    <t>цветок Гвоздика Мария (садовая, шабо, желтая) . Евро, 0,1</t>
  </si>
  <si>
    <t>цветок Гвоздика Мэри Поппинс (китайская, белая с красным центром) . Евро, 0,1</t>
  </si>
  <si>
    <t>цветок Гвоздика Надежда (турецкая, лососево-розовая) . Евро, 0,5</t>
  </si>
  <si>
    <t>цветок Гвоздика Оранжевый щербет (садовая, шабо, оранжевая) . Евро, 0,1</t>
  </si>
  <si>
    <t>цветок Гвоздика Очаровательные глазки (травянка, белая с ярко-красным центром) . Евро, 0,1</t>
  </si>
  <si>
    <t>цветок Гвоздика Плеяда (перистая, смесь белая, розовая, пурпурная) . Евро, 0,3</t>
  </si>
  <si>
    <t>цветок Гвоздика Розовая королева (садовая, шабо, насыщенно-розовая) . Евро, 0,1</t>
  </si>
  <si>
    <t>цветок Гвоздика Сюрприз (турецкая, махровая смесь цветов) . Евро, 0,5</t>
  </si>
  <si>
    <t>цветок Гвоздика Феерия (садовая, гренадин, смесь цветов) . Евро, 0,1</t>
  </si>
  <si>
    <t>цветок Гвоздика Флоренция (турецкая, розовая) . Евро, 0,3</t>
  </si>
  <si>
    <t>цветок Гвоздика Флорида (турецкая, смесь цветов) . Евро, 0,5</t>
  </si>
  <si>
    <t>цветок Гвоздика Холборн Глория (турецкая, пурпурно-красная с белым кругом) . Евро, 0,5</t>
  </si>
  <si>
    <t>цветок Гвоздика Цыганка (турецкая, интенсивно-пурпурная) . Евро, 0,3</t>
  </si>
  <si>
    <t>цветок Гелениум Дионис (амарум (горький), золотисто-желтый) . Евро, 0,1</t>
  </si>
  <si>
    <t>цветок Гелениум Фаэтон (хупа, золотисто-желтый) . Евро, 0,1</t>
  </si>
  <si>
    <t>цветок Гелиопсис Саммер Сан (шероховатый, золотисто-желтый) . Евро, 0,2</t>
  </si>
  <si>
    <t>цветок Гелиптерум Менглеса (вид: менглеса, цвет: розовый) . Евро, 0,2</t>
  </si>
  <si>
    <t>цветок Гелихризум Звёздный мальчик (прицветниковый, золотисто-желтый) . Евро, 0,2</t>
  </si>
  <si>
    <t>цветок Гелихризум Льдинка (прицветниковый, белый) . Евро, 0,2</t>
  </si>
  <si>
    <t>цветок Гелихризум Скарлет( алый). Евро, 0,2</t>
  </si>
  <si>
    <t>цветок Гелихризум Щёголь (прицветниковый, смесь цветов) . Евро, 0,2</t>
  </si>
  <si>
    <t>цветок Георгина Аурика (культурная, ярко-оранжевая)  . Евро, 0,1</t>
  </si>
  <si>
    <t>цветок Георгина Красная шапочка (культурная, красная с желтым центром) . Евро, 0,15</t>
  </si>
  <si>
    <t>цветок Георгина Линда (культурная, белая)  . Евро, 0,15</t>
  </si>
  <si>
    <t>цветок Георгина Мексиканка (культурная, ярко-красная)   . Евро, 0,2</t>
  </si>
  <si>
    <t>цветок Георгина Миньон (культурная, низкорослая смесь ярких цветов) . Евро, 0,2</t>
  </si>
  <si>
    <t>цветок Георгина Мэри (культурная, смесь цветов с бронзово-красными листьями)  . Евро, 0,2</t>
  </si>
  <si>
    <t>цветок Георгина Пикколо миньон (культурная, карликовая смесь цветов) . Евро, 0,2</t>
  </si>
  <si>
    <t>цветок Георгина Рапунцель (культурная, желтая)  . Евро, 0,2</t>
  </si>
  <si>
    <t>цветок Георгина Скоморохи (культурная, гибридная высокорослая кактусовидная смесь цветов) . Евро, 0,2</t>
  </si>
  <si>
    <t>цветок Георгина Царевна Будур (культурная, пурпурная с желтым центром) . Евро, 0,2</t>
  </si>
  <si>
    <t>цветок Георгина Элли (культурная, розовая с желтым центром) . Евро, 0,2</t>
  </si>
  <si>
    <t>цветок Гесперис Вдохновение (вечерница матроны, ночная фиалка, смесь белой, сиреневой, фиолетовой окраски) . Евро, 1</t>
  </si>
  <si>
    <t>цветок Гесперис Романс (вечерница матроны, ночная фиалка, белоснежная) . Евро, 1</t>
  </si>
  <si>
    <t>цветок Гиацинтовые бобы Доличис (долихос обыкновенный, фиолетово-малиновой с темно-зелено-красными листьями). Евро, 1</t>
  </si>
  <si>
    <t>цветок Гилия Орфей (головчатая, голубая) . Евро, 0,2</t>
  </si>
  <si>
    <t>цветок Гипсофила Акулина (тихоокеанская, бледно-розовая с серо-голубыми листьями) . Евро, 0,05</t>
  </si>
  <si>
    <t>цветок Гипсофила Изваяние (изящная, белоснежно-жемчужные) . Евро, 0,2</t>
  </si>
  <si>
    <t>цветок Гипсофила Розовая дымка (изящная, белоснежно-жемчужная) . Евро, 0,2</t>
  </si>
  <si>
    <t>цветок Годеция Амазонка (крупноцветковая, азалиевидная смесь цветов) . Евро, 0,15</t>
  </si>
  <si>
    <t>цветок Годеция Василинка (крупноцветковая, смесь розовых, лососевых, лавандовых, красных оттенков) . Евро, 0,15</t>
  </si>
  <si>
    <t>цветок Годеция Вдохновение (крупноцветковая, смесь белых, розовых, сиреневых оттенков) . Евро, 0,15</t>
  </si>
  <si>
    <t>цветок Годеция Катерина (крупноцветковая, смесь белых, розовых, лиловых, пурпурных оттенков) . Евро, 0,15</t>
  </si>
  <si>
    <t>цветок Годеция Малика (прелестная, персиково-розовая со светлым центром) . Евро, 0,1</t>
  </si>
  <si>
    <t>цветок Годеция Мария (крупноцветковая, смесь розовых и пурпурных оттенков) . Евро, 0,2</t>
  </si>
  <si>
    <t>цветок Годеция Порхающие бабочки (пеларгониевидная, нежно-розовая) . Евро, 0,1</t>
  </si>
  <si>
    <t>цветок Гомфрена Земляничная поляна (хаге, ярко-красная) . Евро, 0,1</t>
  </si>
  <si>
    <t>цветок Гомфрена Помпон (шаровидная, смесь белых, розовых, пурпурных цветов). Евро, 0,1</t>
  </si>
  <si>
    <t>цветок Горец Аметистовая крошка (головчатый, кораллово-розовый) . Евро, 0,1</t>
  </si>
  <si>
    <t>цветок Гравилат Риголетто (чилийский, алый) . Евро, 0,1</t>
  </si>
  <si>
    <t>цветок Гравилат Тинкербелл (чилийский, золотисто-желтый) . Евро, 0,1</t>
  </si>
  <si>
    <t>цветок Датура Медея (дурман индийский, ослепительно белая) . Евро, 0,5</t>
  </si>
  <si>
    <t>цветок Делосперма Звездочёт (обильноцветущая, сиреневая) . Евро, 0,02</t>
  </si>
  <si>
    <t>цветок Дельфиниум Астолат (культурный, тихоокеанский гибрид, розовый с черным центром) . Евро, 0,1</t>
  </si>
  <si>
    <t>цветок Дельфиниум Аякс (аякса, гиацинтовая смесь цветов) . Евро, 0,1</t>
  </si>
  <si>
    <t>цветок Дельфиниум Жуневер (культурный, тихоокеанский гибрид, лилово-розовый с белым центром) . Евро, 0,1</t>
  </si>
  <si>
    <t>цветок Дельфиниум Империал (полевой, смесь белых, розовых, фиолетовых и голубых цветов) . Евро, 0,5</t>
  </si>
  <si>
    <t>цветок Дельфиниум Магические фонтаны (культурный, тихоокеанский гибрид, смесь цветов) . Евро, 0,05</t>
  </si>
  <si>
    <t>цветок Дельфиниум Мадагаскар (крупноцветковый, смесь белых, розовых, голубых оттенков) . Евро, 0,1</t>
  </si>
  <si>
    <t>цветок Дельфиниум Пацифик (культурный, тихоокеанский гибрид, смесь цветов) . Евро, 0,2</t>
  </si>
  <si>
    <t>цветок Дельфиниум Покер (полевой, смесь голубых и синих оттенков) . Евро, 0,1</t>
  </si>
  <si>
    <t>цветок Дельфиниум Портофино (полевой, смесь розовых оттенков) . Евро, 0,1</t>
  </si>
  <si>
    <t>цветок Дельфиниум Сицилия (полевой, карминно-красный) . Евро, 0,3</t>
  </si>
  <si>
    <t>цветок Дельфиниум Сударь (крупноцветковый, бледно-розовый) . Евро, 0,1</t>
  </si>
  <si>
    <t>цветок Дельфиниум Черный рыцарь (культурный, тихоокеанский гибрид, темно-фиолетовый с черным центром) . Евро, 0,1</t>
  </si>
  <si>
    <t>цветок Диасция Бася (бородчатая, нежно-розовая) . Евро, 0,05</t>
  </si>
  <si>
    <t>цветок Дидискус Олимпий (вид: голубой, смесь цветов) . Евро, 0,14</t>
  </si>
  <si>
    <t>цветок Диморфотека Балет (дождевая, белоснежная с темно-синим центром) . Евро, 0,3</t>
  </si>
  <si>
    <t>цветок Диморфотека Караван (выемчатая, смесь белых, кремовых, оранжевых с темно-коричневым центром) . Евро, 0,2</t>
  </si>
  <si>
    <t>цветок Диморфотека Снегурочка (выемчатая, белая) . Евро, 0,2</t>
  </si>
  <si>
    <t>цветок Диморфотека Хохотушка (выемчатая, смесь розового, кремового и желтого тонов) . Евро, 0,2</t>
  </si>
  <si>
    <t>цветок Душистый горошек Алые паруса (чина душистая, алый) . Евро, 1</t>
  </si>
  <si>
    <t>цветок Душистый Горошек Американец (чина душистая  ярко-красные с белыми штрихами). Евро, 0,5</t>
  </si>
  <si>
    <t>цветок Душистый горошек Бубенчик (чина душистая, винтер элеганс, ярко-красный) . Евро, 0,5</t>
  </si>
  <si>
    <t>цветок Душистый горошек Венеция (чина душистая, маммут, смесь цветов) . Евро, 1</t>
  </si>
  <si>
    <t>цветок Душистый горошек Ветерок (чина душистая, стриме, белый с сиреневыми штрихами) . Евро, 0,5</t>
  </si>
  <si>
    <t>цветок Душистый горошек Виконт (чина душистая, снежно-белый) . Евро, 1</t>
  </si>
  <si>
    <t>цветок Душистый горошек Гладиатор (чина душистая, насыщенно-лиловый) . Евро, 0,5</t>
  </si>
  <si>
    <t>цветок Душистый горошек Жемчужная россыпь (чина душистая, смесь сиреневых, розовых и белых тонов) . Евро, 1</t>
  </si>
  <si>
    <t>цветок Душистый горошек Изюминка (чина душистая, карликовый, смесь цветов) . Евро, 1</t>
  </si>
  <si>
    <t>цветок Душистый горошек Империя (чина душистая, маммут, нежно-сиреневый) . Евро, 1</t>
  </si>
  <si>
    <t>цветок Душистый горошек Капри (чина душистая, голубой) . Евро, 1</t>
  </si>
  <si>
    <t>цветок Душистый горошек Лемингтон (чина душистая, светло-сиреневый) . Евро, 1</t>
  </si>
  <si>
    <t>цветок Душистый горошек Лукоморье (чина душистая, карликовый, розово-малиновый) . Евро, 0,5</t>
  </si>
  <si>
    <t>цветок Душистый горошек Метелица (чина душистая, карликовый, белый) . Евро, 0,5</t>
  </si>
  <si>
    <t>цветок Душистый горошек Спенсер (чина душистая, смесь цветов) . Евро, 1</t>
  </si>
  <si>
    <t>цветок Душистый горошек Шоколадный крем (чина душистая, стриме, белый с коричнево-лиловыми штрихами) . Евро, 0,5</t>
  </si>
  <si>
    <t>цветок Душистый табак Наваждение (декоративный, белый) . Евро, 0,1</t>
  </si>
  <si>
    <t>цветок Душистый табак Нюанс (декоративный, светло-салатовый) . Евро, 0,1</t>
  </si>
  <si>
    <t>цветок Душистый табак Сенсация (декоративный, смесь белых, розовых, пурпурно-красных цветов) . Евро, 0,1</t>
  </si>
  <si>
    <t>цветок Душистый табак Тодес (декоративный, рубиново-красный) . Евро, 0,1</t>
  </si>
  <si>
    <t>цветок Жакаранда Магдалена (мимозолистная, фиолетово-голубая) . Евро, 0,1</t>
  </si>
  <si>
    <t>цветок Дюшенея Кудесница (индийская, цветки желтые, плоды красные в виде земляники) . Евро, 0,04</t>
  </si>
  <si>
    <t>цветок Змееголовник Молдавия (дракоцефалум, белый и нежно-фиолетовый) . Евро, 0,2</t>
  </si>
  <si>
    <t>цветок Иберис Александрит (гибралтарский, лилово-белый) . Евро, 0,1</t>
  </si>
  <si>
    <t>цветок Иберис Гармония (зонтичный, розово-белый) . Евро , 0,1</t>
  </si>
  <si>
    <t>цветок Иберис Красавчик (зонтичный, пурпурно-розовый) . Евро, 0,2</t>
  </si>
  <si>
    <t>цветок Иберис Медонос (зонтичный, красный). Евро, 0,2</t>
  </si>
  <si>
    <t>цветок Иберис Южный Вечерок (зонтичный, красно-белый) . Евро, 0,1</t>
  </si>
  <si>
    <t>цветок Ипомея Ангелок (вид: пурпурная, цвет: небесно-голубая) . Евро, 0,5</t>
  </si>
  <si>
    <t>цветок Ипомея Голубая звезда (трехцветная, ярко-голубая с темно-синей звездой) . Евро, 0,25</t>
  </si>
  <si>
    <t>цветок Ипомея Додо (вид: пурпурная, белая с синими штрихами) . Евро, 0,2</t>
  </si>
  <si>
    <t>цветок Ипомея Звонница (вид: пурпурная, смесь цветов) . Евро, 0,5</t>
  </si>
  <si>
    <t>цветок Ипомея Коломбо (вид: пурпурная, белая с голубой звездой) . Евро, 0,25</t>
  </si>
  <si>
    <t>цветок Ипомея Малиновка (нил, малиново-красная с белой каймой) . Евро, 0,25</t>
  </si>
  <si>
    <t>цветок Ипомея Перли Гейтс (вид: пурпурная, цвет: белая) . Евро, 0,5</t>
  </si>
  <si>
    <t>цветок Ипомея Раффелс (императорская, пурпурно-розовая с белым горлом) . Евро, 0,16</t>
  </si>
  <si>
    <t>цветок Ипомея Скарлет ОʹХара (нил, красная) . Евро, 0,5</t>
  </si>
  <si>
    <t>цветок Ипомея Тальянка (нил, розовая) . Евро, 0,25</t>
  </si>
  <si>
    <t>цветок Ипомея Шива (вид: пурпурная, белая с розовой звездой) . Евро, 0,2</t>
  </si>
  <si>
    <t>цветок Кактус Забияка (смесь видов) . Евро, 0,05</t>
  </si>
  <si>
    <t>цветок Календула Арт Шадес (лекарственная, золотисто-желтая и оранжевая) . Евро, 1</t>
  </si>
  <si>
    <t>цветок Календула Волшебница (лекарственная, смесь цветов) . Евро, 0,5</t>
  </si>
  <si>
    <t>цветок Календула Голден Бьюти (лекарственная, золотисто-желтая) . Евро, 1</t>
  </si>
  <si>
    <t>цветок Календула Золотце (лекарственная, золотисто-желтая). Евро, 0,5</t>
  </si>
  <si>
    <t>цветок Календула Лили (лекарственная, золотисто-желтая с темным центром). Евро, 0,5</t>
  </si>
  <si>
    <t>цветок Календула Марица (лекарственная, оранжевая) ОБИ. Евро, 0,25</t>
  </si>
  <si>
    <t>цветок Календула Нэнси (лекарственная, абрикосово-розовая с темно-коричневым центром) . Евро, 0,5</t>
  </si>
  <si>
    <t>цветок Календула Оксана (лекарственная, желто-оранжевая с зеленым центром) . Евро, 0,3</t>
  </si>
  <si>
    <t>цветок Календула Пацифик Бьюти (лекарственная, смесь лимонных, желтых и оранжевых оттенков) . Евро, 0,5</t>
  </si>
  <si>
    <t>цветок Календула Утренняя звезда (лекарственная, оранжевая) . Евро, 0,5</t>
  </si>
  <si>
    <t>цветок Календула Юная гейша (лекарственная, красно-оранжевая) . Евро, 0,5</t>
  </si>
  <si>
    <t>цветок Капуста Канкан (декоративная, окраска листьев темно-зеленая, сизая, розовая) . Евро, 0,1</t>
  </si>
  <si>
    <t>цветок Капуста Токио (кочанная, декоративная, смесь красных, розово-красных, бело-пёстрых цветов) . Евро, 0,1</t>
  </si>
  <si>
    <t>цветок Кардиоспермум Жонглер (халикакабский, цветки белые, завязи сердцевидные) . Евро, 0,5</t>
  </si>
  <si>
    <t>цветок Катарантус (барвинок) Кураж (вид: розовый, смесь бело-розовых оттенков, высота 40см) . Евро, 0,1</t>
  </si>
  <si>
    <t>цветок Катарантус (барвинок) Сиртаки (вид: розовый, бело-розовых оттенков, высота 25 см) . Евро, 0,1</t>
  </si>
  <si>
    <t>цветок Кларкия Виллина (изящная, белая) . Евро, 0,2</t>
  </si>
  <si>
    <t>цветок Кларкия Кружево (изящная, смесь от нежно-розовой до малиново-пурпурной окраски) . Евро, 0,25</t>
  </si>
  <si>
    <t>цветок Кларкия Мадмуазель (изящная, красная) . Евро, 0,1</t>
  </si>
  <si>
    <t>цветок Клематис Золотой петушок (тангутский, желтый) . Евро, 0,1</t>
  </si>
  <si>
    <t>цветок Клеома Вильма (колючая, розовая с голубыми или пурпурными тычинками) . Евро, 0,2</t>
  </si>
  <si>
    <t>цветок Клеома Победа (колючая, вишнево-красная с голубыми или пурпурными тычинками) . Евро, 0,2</t>
  </si>
  <si>
    <t>цветок Клещевина Импала (обыкновенная, лист бордовый, соцветие - красочные плоды как каштанчики) . Евро, 2</t>
  </si>
  <si>
    <t>цветок Клещевина Недотрога (обыкновенная, лист зеленый, соцветие - красочные плоды как каштанчики) . Евро, 2</t>
  </si>
  <si>
    <t>цветок Клещевина Оракул (обыкновенная, лист красно-пурпурный, цветки ярко-красные) . Евро, 1</t>
  </si>
  <si>
    <t>цветок Книфофия Сюрприз (ягодная) . Евро, 0,2</t>
  </si>
  <si>
    <t>цветок Кобея Амазонка (лазающая, от светло-зеленой до фиолетовой) . Евро, 0,5</t>
  </si>
  <si>
    <t>цветок Кобея Леди Гамильтон (лазающая, белая) . Евро, 0,25</t>
  </si>
  <si>
    <t>цветок Колеус Радуга (блюма, смесь с листьями разных форм и окрасок, цветки сиреневато-голубые) . Евро, 0,03</t>
  </si>
  <si>
    <t>цветок Колеус Фауст (блюма, лист насыщенно-фиолетовый). Евро, 0,1</t>
  </si>
  <si>
    <t>цветок Коллинсия Незнакомка (разнолистная, цветок с белыми и розово-пурпурными лепестками) . Евро, 0,5</t>
  </si>
  <si>
    <t>цветок Колокольчик Белоснежка (карпатский, белый) . Евро, 0,1</t>
  </si>
  <si>
    <t>цветок Колокольчик Весёлая трель (персиколистный, голубой) . Евро, 0,2</t>
  </si>
  <si>
    <t>цветок Колокольчик Первое свидание (средний, белый) . Евро, 0,1</t>
  </si>
  <si>
    <t>цветок Колокольчик Реверанс (персиколистный, белоснежный) . Евро, 0,05</t>
  </si>
  <si>
    <t>цветок Колокольчик Свадебный вальс (средний, смесь белой, голубой, розовой окраски) . Евро, 0,1</t>
  </si>
  <si>
    <t>цветок Колокольчик Сновидение (средний, розовый) . Евро, 0,1</t>
  </si>
  <si>
    <t>цветок Колокольчик Чашка с блюдцем (средний, высокорослая смесь белых, розовых, голубых тонов) . Евро, 0,1</t>
  </si>
  <si>
    <t>цветок Колокольчик Эльф (карпатский, голубой) . Евро, 0,1</t>
  </si>
  <si>
    <t>цветок Конвольвулюс Белый танец (вид: трехцветный, белоснежный) . Евро, 1</t>
  </si>
  <si>
    <t>цветок Конвольвулюс Венский вальс (вид: трехцветный, розовый) . Евро, 1</t>
  </si>
  <si>
    <t>цветок Конвольвулюс Калипсо (вид: трехцветный, смесь белой, голубой, розовой, пурпурной окраски) . Евро, 1</t>
  </si>
  <si>
    <t>цветок Кореопсис Амулет (красильный, карликовый, красно-коричневый с коричневым центром) . Евро, 0,1</t>
  </si>
  <si>
    <t>цветок Кореопсис Золотой шар (крупноцветковый, золотисто-желтый) . Евро, 0,02</t>
  </si>
  <si>
    <t>цветок Кореопсис Илларион (крупноцветковый, золотисто-желтый) . Евро, 0,1</t>
  </si>
  <si>
    <t>цветок Кореопсис Меценат (красильный, низкорослая смесь от золотисто-желтой до коричнево-красной) . Евро, 0,25</t>
  </si>
  <si>
    <t>цветок Кореопсис Снегирь (красильный, темно-красный с коричневым центром) . Евро, 0,2</t>
  </si>
  <si>
    <t>цветок Космея Акулина (дваждыперистая, белая с розовым кантом) . Евро, 0,5</t>
  </si>
  <si>
    <t>цветок Космея Ариадна (дваждыперистая, махровая, белая) . Евро, 0,04</t>
  </si>
  <si>
    <t>цветок Космея Афродита (дваждыперистая, белоснежная) . Евро, 0,5</t>
  </si>
  <si>
    <t>цветок Космея Восторг (дваждыперистая, ярко-красная) . Евро, 0,2</t>
  </si>
  <si>
    <t>цветок Космея Восход солнца (дваждыперистая, желтая) . Евро, 0,2</t>
  </si>
  <si>
    <t>цветок Космея Краски Монмартра (дваждыперистая, смесь белой, розовой, бордовой окраски) . Евро, 0,07</t>
  </si>
  <si>
    <t>цветок Космея Красотка (дваждыперистая, ярко-красная) . Евро, 0,5</t>
  </si>
  <si>
    <t>цветок Космея Летний зной (вид: серно-жёлтая, смесь золотисто-желто-оранжевая) . Евро, 0,25</t>
  </si>
  <si>
    <t>цветок Космея Мадам Помпадур (дваждыперистая, махровая, бордовая) . Евро, 0,04</t>
  </si>
  <si>
    <t>цветок Космея Мадонна (дваждыперистая, рубиново-красная) . Евро, 0,06</t>
  </si>
  <si>
    <t>цветок Космея Мечта (дваждыперистая,  смесь розово-карминных тонов) . Евро, 0,5</t>
  </si>
  <si>
    <t>цветок Космея Огниво (вид: серно-жёлтая, ярко-красные с желтым центром) . Евро, 0,25</t>
  </si>
  <si>
    <t>цветок Космея Озорница (дваждыперистая, перламутово-розово-белая с вишнёвым мазком). Евро, 0,25</t>
  </si>
  <si>
    <t>цветок Космея Парадиз (дваждыперистая, махровая смесь белой, розовой, сиреневой, красной окраски) . Евро, 0,1</t>
  </si>
  <si>
    <t>цветок Космея Роза Бурбон (дваждыперистая, махровая, нежно-розовая) . Евро, 0,04</t>
  </si>
  <si>
    <t>цветок Космея Северное сияние (дваждыперистая, низкорослая смесь белая, розовая, пурпурная) . Евро, 0,3</t>
  </si>
  <si>
    <t>цветок Кохия Грин лейс (веничная, ажурная листва от изумрудной до карминно-красной осенью) . Евро, 0,3</t>
  </si>
  <si>
    <t>цветок Ксерантемум Казачок (бессмертник, сухоцвет, смесь белой, розовой, лиловой окраски) . Евро, 0,2</t>
  </si>
  <si>
    <t>цветок Лаванда Голубой простор (узколистная, синяя) . Евро, 0,05</t>
  </si>
  <si>
    <t>цветок Лаватера Невеста (трехмесячная, белоснежная) . Евро, 0,3</t>
  </si>
  <si>
    <t>цветок Лаватера Пастушка (трехмесячная, серия регис, нежно-розовая) . Евро, 0,2</t>
  </si>
  <si>
    <t>цветок Лаватера Чаровница (трехмесячная, смесь белой, розовой, малиновой окраски) . Евро, 0,3</t>
  </si>
  <si>
    <t>цветок Лагурус Степной странник (зайцехвост яйцевидный, соцветия-метелки нежно-зеленые и белые) . Евро, 0,1</t>
  </si>
  <si>
    <t>цветок Левкой (маттиола) Взбитые сливки (вид: седой, цвет: кремово-желтый) . Евро, 0,1</t>
  </si>
  <si>
    <t>цветок Левкой (маттиола) Ливерпуль (вид: седой, цвет: белоснежный) . Евро, 0,1</t>
  </si>
  <si>
    <t>цветок Левкой (маттиола) Пацифик блу  (вид: седой, цвет: ярко-синий) . Евро, 0,1</t>
  </si>
  <si>
    <t>цветок Левкой (маттиола) Снежная лавина  (вид: седой, цвет: сиренево-лиловой) . Евро, 0,1</t>
  </si>
  <si>
    <t>цветок Левкой (маттиола) Тайное свидание (вид: седой, карликовая смесь белой, желтой, лиловой, красной окраски) . Евро, 0,1</t>
  </si>
  <si>
    <t>цветок Левкой (маттиола) Фуке (вид: седой, цвет: белоснежный) . Евро, 0,1</t>
  </si>
  <si>
    <t>цветок Легузия Зеркало Венеры (вид: зеркало венеры, цвет: голубая) . Евро, 0,2</t>
  </si>
  <si>
    <t>цветок Лён Орнамент (крупноцветковый, смесь красной, розовой и белой окраски) . Евро, 0,2</t>
  </si>
  <si>
    <t>цветок Лён Пилигрим (многолетний, небесно-голубой) . Евро, 0,1</t>
  </si>
  <si>
    <t>цветок Лептосифон Бисер (гибридный, смесь цветов) . Евро, 0,2</t>
  </si>
  <si>
    <t>цветок Лимнантес Люция (вид: лимнантес, желтый с белой каймой) . Евро, 0,5</t>
  </si>
  <si>
    <t>цветок Лихнис Везувий (аркрайта, цветок красно-оранжевый, лист бронзово-коричневый) . Евро, 0,25</t>
  </si>
  <si>
    <t>цветок Лихнис Скарлет (халцедонский, густо-красный) . Евро, 0,25</t>
  </si>
  <si>
    <t>цветок Лобелия Пассия (эринус, карминно-розовая с белым зевом) . Евро, 0,06</t>
  </si>
  <si>
    <t>цветок Лобелия Сапфир (ампельная, ярко-синяя с белоснежным глазком) . Евро, 0,03</t>
  </si>
  <si>
    <t>цветок Лонас Малыш (инодора, карликовый - 20 см, ярко-желтый). Евро, 0,05</t>
  </si>
  <si>
    <t>цветок Лонас Цыпленок (инодора, желтый) . Евро, 0,1</t>
  </si>
  <si>
    <t>цветок Лунария Искушение (однолетняя, лиловая). Евро, 0,1</t>
  </si>
  <si>
    <t>цветок Львиный зев Акварель (большой, исполинский, смесь цветов) . Евро, 0,1</t>
  </si>
  <si>
    <t>цветок Львиный зев Анна Герман (большой, розовый) . Евро, 0,1</t>
  </si>
  <si>
    <t>цветок Львиный зев Вызов (большой, оранжевый-алый) . Евро, 0,1</t>
  </si>
  <si>
    <t>цветок Львиный зев Дон Базилио (большой, ало-красный) . Евро, 0,1</t>
  </si>
  <si>
    <t>цветок Львиный зев Золотой каскад (большой, исполинский, ярко-желтый) . Евро, 0,1</t>
  </si>
  <si>
    <t>цветок Львиный зев Королевская смесь (большой, смесь белых, желтых, розовых, красных оттенков) . Евро, 0,02</t>
  </si>
  <si>
    <t>цветок Львиный зев Марина F1 (большой, малиновый) . Евро, 20</t>
  </si>
  <si>
    <t>цветок Львиный зев Привет (большой, низкорослый, темно-красный) . Евро, 0,1</t>
  </si>
  <si>
    <t>цветок Львиный зев Снежинка (большой, исполинский, белоснежный) . Евро, 0,1</t>
  </si>
  <si>
    <t>цветок Львиный зев Том Тумб (большой, карликовый, смесь цветов) . Евро, 0,05</t>
  </si>
  <si>
    <t>цветок Львиный зев Тореадор F1 (большой, темно-красный) . Евро, 20</t>
  </si>
  <si>
    <t>цветок Льнянка Водевиль (марокканская, смесь от белой до вишневой и фиолетовой всех оттенков) . Евро, 0,3</t>
  </si>
  <si>
    <t>цветок Люпин Благородный рыцарь (многолистный, карминно-красный) . Евро, 0,3</t>
  </si>
  <si>
    <t>цветок Люпин Кинг (хартвега, смесь розовых, голубых, белых цветов) . Евро, 1</t>
  </si>
  <si>
    <t>цветок Люпин Месье Александр (многолистный, розовый) . Евро, 0,2</t>
  </si>
  <si>
    <t>цветок Люпин Месье Виктор (многолистный, насыщенно-красный) . Евро, 0,2</t>
  </si>
  <si>
    <t>цветок Люпин Месье Шарль (многолистный, белоснежный) . Евро, 0,2</t>
  </si>
  <si>
    <t>цветок Люпин Месье Эмиль (желтый) . Евро, 0,2</t>
  </si>
  <si>
    <t>цветок Люпин Придворная дама (гибрид рассела, розовый). Евро, 0,3</t>
  </si>
  <si>
    <t>цветок Люпин Рапсодия (многолистный, смесь цветов) . Евро, 1</t>
  </si>
  <si>
    <t>цветок Малопа Свита (трехнадрезная, смесь белой, розовой, малиновой, лиловой окраски) . Евро, 0,5</t>
  </si>
  <si>
    <t>цветок Мальва Палермо (лесная, сиренево-лиловая). Евро, 0,1</t>
  </si>
  <si>
    <t>цветок Маргаритка Дитя природы (капская, белая с фиолетовым глазком) . Евро, 0,1</t>
  </si>
  <si>
    <t>цветок Маргаритка Пани Ванда (многолетняя, розовая) . Евро, 0,05</t>
  </si>
  <si>
    <t>цветок Маргаритка Пани Зося (многолетняя, помпонная смесь белых, розовых, красных тонов) . Евро, 0,04</t>
  </si>
  <si>
    <t>цветок Маттиола Царица ночи (двурогая, лиловая) . Евро, 0,3</t>
  </si>
  <si>
    <t>цветок Мимулюс Юмореска (тигровый, смесь цветов) . Евро, 0,05</t>
  </si>
  <si>
    <t>цветок Мирабилис Летний мотив (ялапа, смесь цветов) . Евро, 1</t>
  </si>
  <si>
    <t>цветок Молочай Горный снег (окаймленный, листья цветущих побегов с белой каймой) . Евро, 0,3</t>
  </si>
  <si>
    <t>цветок Монарда Диана (лимонная, лиловая) . Евро, 0,1</t>
  </si>
  <si>
    <t>цветок Наперстянка Муза (вид: пурпурная, смесь розовых, кремовых, лиловых, сиреневых, желтых тонов с бордовым зевом) . Евро, 0,1</t>
  </si>
  <si>
    <t>цветок Настурция Алина (большая, смесь золотисто-желтых, оранжевых и алых цветов) . Евро, 1</t>
  </si>
  <si>
    <t>цветок Настурция Аляска (низкорослая, смесь цветов с пестрыми листьями) . Евро, 1</t>
  </si>
  <si>
    <t>цветок Настурция Анютка (большая, махровая ярко-алая) . Евро, 1</t>
  </si>
  <si>
    <t>цветок Настурция Везувий (низкорослая, оранжево-розовая) . Евро, 1</t>
  </si>
  <si>
    <t>цветок Настурция Кокетка (карликовая, смесь темно-оранжевых и карминово-красных цветов) . Евро, 1</t>
  </si>
  <si>
    <t>цветок Настурция Конфетти (карликовая, смесь желтых, оранжевых, красно-коричневых, малиновых тонов) . Евро, 1</t>
  </si>
  <si>
    <t>цветок Настурция Оранжевый луч (большая, полумахровая ярко-оранжевая) . Евро, 1</t>
  </si>
  <si>
    <t>цветок Настурция Помпадур  (большая, махровая смесь цветов) . Евро, 1</t>
  </si>
  <si>
    <t>цветок Настурция Принцесса Индии (карликовая, интенсивно-красная) . Евро, 1</t>
  </si>
  <si>
    <t>цветок Настурция Фаина (культурная, махровая смесь оранжевого, бежевого, кремового цвета) . Евро, 0,5</t>
  </si>
  <si>
    <t>цветок Настурция Ча-Ча-Ча (низкорослая, светло-оранжевая) . Евро, 0,5</t>
  </si>
  <si>
    <t>цветок Настурция Ягодка (низкорослая, вишнево-розовая) . Евро, 1</t>
  </si>
  <si>
    <t>цветок Незабудка Виктория (альпийская, сиреневая) . Евро, 0,2</t>
  </si>
  <si>
    <t>цветок Немезия Весёлая вдова (зобовидная, бело-ало-красная) . Евро, 0,05</t>
  </si>
  <si>
    <t>цветок Немезия Оранжевая принцесса (зобовидная, насыщенно-оранжевая) . Евро, 0,05</t>
  </si>
  <si>
    <t>цветок Немофила Мальвина (стелющаяся смесь белых, белых с фиолетовыми пятнами, голубых) . Евро, 0,05</t>
  </si>
  <si>
    <t>цветок Непета Орион (котовник мусина, цветки голубые, листья серебристо-серые) . Евро, 0,1</t>
  </si>
  <si>
    <t>цветок Нивяник (хризантема) Мей Куин (крупноцветковый, белоснежный) . Евро, 0,2</t>
  </si>
  <si>
    <t>цветок Нивяник  (хризантема) Рейн Вью (крупноцветковый, белый) . Евро, 0,1</t>
  </si>
  <si>
    <t>цветок Нивяник (хризантема) Серебряная принцесса (крупноцветковый, низкорослый, белый) . Евро, 0,2</t>
  </si>
  <si>
    <t>цветок Нивяник ( Хризантема) Эльдорадо (крупноцветковый, белоснежный) . Евро, 0,5</t>
  </si>
  <si>
    <t>цветок Нигелла Звездная россыпь (дамасская, махровая красная) . Евро, 1</t>
  </si>
  <si>
    <t>цветок Нигелла Персидские бриллианты  (дамасская, смесь белых, синих, розовых цветов) . Евро, 0,1</t>
  </si>
  <si>
    <t>цветок Нигелла Светлячок (восточная, золотисто-желтая) . Евро, 0,5</t>
  </si>
  <si>
    <t>цветок Нигелла Шахеризада (дамасская, махровая ярко-розовая) . Евро, 1</t>
  </si>
  <si>
    <t>цветок Нолана Бриз (сомнительная, нежно-голубая с белым центром) . Евро, 0,2</t>
  </si>
  <si>
    <t>цветок Пеларгония Арбат (зональная, розовых оттенков) . Евро, 5</t>
  </si>
  <si>
    <t>цветок Пеларгония Марсельеза (зональная, смесь цветов от белого до пурпурного) . Евро,5</t>
  </si>
  <si>
    <t>I0000014141</t>
  </si>
  <si>
    <t>Мультифлора Джоконда</t>
  </si>
  <si>
    <t>цветок Петуния Агнесса F1 (многоцветковая, джоконда, ярко-розовая с белой звездой ) ИТАЛИЯ. Евро, 5</t>
  </si>
  <si>
    <t>I0000014690</t>
  </si>
  <si>
    <t>Мультифлора Пендолино</t>
  </si>
  <si>
    <t>цветок Петуния Александра F1( ярко красная ) ИТАЛИЯ. Евро, 5</t>
  </si>
  <si>
    <t>I0000014147</t>
  </si>
  <si>
    <t>Грандифлора махровый Аллегра</t>
  </si>
  <si>
    <t>цветок Петуния Аллегра F1 (крупноцветковая, махровая смесь белой, розовой, лососевой, пурпурной окраски) ИТАЛИЯ. Евро, 5</t>
  </si>
  <si>
    <t>I0000014697</t>
  </si>
  <si>
    <t>цветок Петуния Анастасия (многоцв.белая с желтым глазком) F1 ИТАЛИЯ. Евро, 5</t>
  </si>
  <si>
    <t>I0000014138</t>
  </si>
  <si>
    <t>Дольче</t>
  </si>
  <si>
    <t>цветок Петуния Анна Герман F1 (крупноцветковая, дольче, светло-желтая с ярко-лимонным зевом) ИТАЛИЯ. Евро, 5</t>
  </si>
  <si>
    <t>I0000014149</t>
  </si>
  <si>
    <t>цветок Петуния Баядерка F1 (многоцветковая, джоконда, яркого цвета фуксии) ИТАЛИЯ. Евро, 5</t>
  </si>
  <si>
    <t>I0000014142</t>
  </si>
  <si>
    <t>цветок Петуния Беатрис F1 (многоцветковая, джоконда, пурпурно-розовая с белыми полосами) ИТАЛИЯ . Евро, 5</t>
  </si>
  <si>
    <t>цветок Петуния Белый шар F1 (компактная, белоснежная)  . Евро, 0,1</t>
  </si>
  <si>
    <t>I0000014137</t>
  </si>
  <si>
    <t>цветок Петуния Божена F1 (крупноцветковая, дольче, розово-желтая с белым ободком и мелкими штрихами)  ИТАЛИЯ. Евро, 10</t>
  </si>
  <si>
    <t>цветок Петуния Бригитте F1 (многоцветковая, компактная, светло-фиолетовая с фиолетовыми прожилками) . Евро, 10</t>
  </si>
  <si>
    <t>I0000014691</t>
  </si>
  <si>
    <t>цветок Петуния Валентина (многоцветковая,ранняя, розовая) F1 ИТАЛИЯ. Евро, 5</t>
  </si>
  <si>
    <t>I0000014135</t>
  </si>
  <si>
    <t>Грандифлора Пикоти</t>
  </si>
  <si>
    <t>цветок Петуния Васса F1 (крупноцветковая, донна пикоти, бархатисто-пурпурная с белой каймой)  ИТАЛИЯ. Евро, 10</t>
  </si>
  <si>
    <t>I0000014694</t>
  </si>
  <si>
    <t>цветок Петуния Венера F1 (многоцв. малиново-розов. с белым глазком) ИТАЛИЯ. Евро, 5</t>
  </si>
  <si>
    <t>I0000014689</t>
  </si>
  <si>
    <t>цветок Петуния Виолетта F1  (цветы миниатюрные,  белые с лиловыми прожилками) ИТАЛИЯ. Евро, 5</t>
  </si>
  <si>
    <t>цветок Петуния Волшебница F1 (каскадная, смесь цветов) . Евро, 0,01</t>
  </si>
  <si>
    <t>I0000014144</t>
  </si>
  <si>
    <t>Мультифлора Бейби Джоконда</t>
  </si>
  <si>
    <t>цветок Петуния Габриела F1 (многоцветковая, бейби джоконда, нежно-лимонная и красная)  ИТАЛИЯ. Евро, 5</t>
  </si>
  <si>
    <t>I0000014134</t>
  </si>
  <si>
    <t>Мультифлора Калиффо</t>
  </si>
  <si>
    <t>цветок Петуния Гертруда F1 (многоцветковая, калиффо, бархатисто-пурпурно-фиолетовая с белой каймой)  ИТАЛИЯ. Евро, 5</t>
  </si>
  <si>
    <t>I0000014682</t>
  </si>
  <si>
    <t>Мультифлора Моя радость</t>
  </si>
  <si>
    <t>цветок Петуния Дивчина F1 ( многоцветковая,красная,с рисунком белой звезды) ИТАЛИЯ. Евро, 5</t>
  </si>
  <si>
    <t>I0000014129</t>
  </si>
  <si>
    <t>Мультифлора Кэнди</t>
  </si>
  <si>
    <t>цветок Петуния Доченька F1 (многоцветковая, кэнди, пурпурная с белой каймой)  ИТАЛИЯ. Евро, 10</t>
  </si>
  <si>
    <t>I0000014148</t>
  </si>
  <si>
    <t>Мультифлора Аморе Мио</t>
  </si>
  <si>
    <t>цветок Петуния Ева F1 (многоцветковая, аморе мио, розово-алого цвета фуксии)  ИТАЛИЯ. Евро, 5</t>
  </si>
  <si>
    <t>I0000014146</t>
  </si>
  <si>
    <t>Грандифлора Капри</t>
  </si>
  <si>
    <t>цветок Петуния Егоза F1 (крупноцветковая, капри, нежно-розовая с контрастными прожилками)  ИТАЛИЯ. Евро, 5</t>
  </si>
  <si>
    <t>цветок Петуния Екатерина F1 (ампельная, сурфиния, лососевая с четкими прожилками) . Евро, 5</t>
  </si>
  <si>
    <t>цветок Петуния Жемчужина F1 (ампельная, сурфиния, жемчужно-розовая) . Евро, 5</t>
  </si>
  <si>
    <t>I0000014145</t>
  </si>
  <si>
    <t>цветок Петуния Индианка F1 (крупноцветковая, капри, темно-фиолетовая с зеленым глазком) ИТАЛИЯ. Евро, 5</t>
  </si>
  <si>
    <t>цветок Петуния Кадриль (многоцветковая, компактная, смесь цветов) . Евро, 0,1</t>
  </si>
  <si>
    <t>I0000014132</t>
  </si>
  <si>
    <t>Грандифлора Кан Кан</t>
  </si>
  <si>
    <t>цветок Петуния Капелла F1 (крупноцветковая, кан кан, пурпурная с белой каймой)  ИТАЛИЯ. Евро, 10</t>
  </si>
  <si>
    <t>I0000014136</t>
  </si>
  <si>
    <t>цветок Петуния Каролина F1 (крупноцветковая, донна пикоти, бархатисто-красная с белой каймой)  ИТАЛИЯ. Евро, 10</t>
  </si>
  <si>
    <t>I0000014683</t>
  </si>
  <si>
    <t>цветок Петуния Кира F1 (сочный лайм ) ИТАЛИЯ. Евро, 5</t>
  </si>
  <si>
    <t>I0000014678</t>
  </si>
  <si>
    <t>цветок Петуния Красный Бархат F1 ( крупноцветковая, красная) ИТАЛИЯ. Евро, 5</t>
  </si>
  <si>
    <t>цветок Петуния Лагуна F1 (многоцветковая, компактная, смесь цветов) . Евро, 0,1</t>
  </si>
  <si>
    <t>I0000014679</t>
  </si>
  <si>
    <t>цветок Петуния Лоретта F1 ( крупноцветковая, золотисто-лимонная) ИТАЛИЯ. Евро, 5</t>
  </si>
  <si>
    <t>цветок Петуния Луиза F1 (крупноцветковая, превосходнейшая, темно-пурпурная с темными прожилками) . Евро, 10</t>
  </si>
  <si>
    <t>I0000014139</t>
  </si>
  <si>
    <t>цветок Петуния Магдалена F1 (многоцветковая, джоконда, ярко-красная)  ИТАЛИЯ. Евро, 5</t>
  </si>
  <si>
    <t>I0000014680</t>
  </si>
  <si>
    <t>цветок Петуния Малиновая Заря F1 ( крупноцветковая, рубиново-розовая) ИТАЛИЯ. Евро, 5</t>
  </si>
  <si>
    <t>I0000014687</t>
  </si>
  <si>
    <t>цветок Петуния Малышка Сьюзи F1 (цвета фуксии, с запахом жасмина) ИТАЛИЯ. Евро, 5</t>
  </si>
  <si>
    <t>I0000014696</t>
  </si>
  <si>
    <t>цветок Петуния Марианна (многоцв. ярко-синяя ) ИТАЛИЯ. Евро, 5</t>
  </si>
  <si>
    <t>цветок Петуния Машенька F1 (ампельная, сурфиния, ярко-розовая с светло-желтым центром) . Евро, 5</t>
  </si>
  <si>
    <t>I0000014143</t>
  </si>
  <si>
    <t>цветок Петуния Медина F1 (многоцветковая, джоконда, розово-красная с белым центром)  ИТАЛИЯ. Евро, 5</t>
  </si>
  <si>
    <t>I0000014131</t>
  </si>
  <si>
    <t>цветок Петуния Моника F1 (многоцветковая, кэнди, бургунди с белой каймой)  ИТАЛИЯ. Евро, 10</t>
  </si>
  <si>
    <t>I0000014684</t>
  </si>
  <si>
    <t>цветок Петуния Моя Голубка F1 (компактная, розовая ) ИТАЛИЯ. Евро, 5</t>
  </si>
  <si>
    <t>цветок Петуния Насмешка F1 (крупноцветковая, компактная, красно-белая) . Евро, 10</t>
  </si>
  <si>
    <t>I0000014686</t>
  </si>
  <si>
    <t>цветок Петуния Оранжевое Пламя F1 ( многоцветковая,оранжево-красная) ИТАЛИЯ. Евро, 5</t>
  </si>
  <si>
    <t>I0000014133</t>
  </si>
  <si>
    <t>цветок Петуния Поэтесса F1 (крупноцветковая, кан кан, насыщенно-красная с белыми пятнами и белой каймой) ИТАЛИЯ . Евро, 10</t>
  </si>
  <si>
    <t>цветок Петуния Пурпурный вельвет F1 (ампельная, сурфиния, ярко-малиновая с черным центром). Евро, 10</t>
  </si>
  <si>
    <t>цветок Петуния Радость F1 (крупноцветковая, низкорослая, темно-малиново-розовая) . Евро, 10</t>
  </si>
  <si>
    <t>I0000002049</t>
  </si>
  <si>
    <t>цветок Петуния Райская роза (многоцветковая, компактная, ярко-розовая) . Евро, 0,01</t>
  </si>
  <si>
    <t>цветок Петуния Рубиновые звезды F1 (крупноцветковая, низкорослая, рубиново-красная с темными жилками) . Евро, 10</t>
  </si>
  <si>
    <t>цветок Петуния Серенада F1 (крупноцветковая, низкорослая, амарантово-пурпурная) . Евро, 10</t>
  </si>
  <si>
    <t>I0000014693</t>
  </si>
  <si>
    <t>цветок Петуния Скарлетт  F1  (многоцветков. алая) ИТАЛИЯ. Евро, 5</t>
  </si>
  <si>
    <t>цветок Петуния Снени F1 (крупноцветковая, компактная, розовая с бордовыми жилками) . Евро, 10</t>
  </si>
  <si>
    <t>I0000014688</t>
  </si>
  <si>
    <t>цветок Петуния Сочный Лайм F1 (многоцветковая, лимонно-желтая) ИТАЛИЯ. Евро, 5</t>
  </si>
  <si>
    <t>I0000014692</t>
  </si>
  <si>
    <t>цветок Петуния Стефания F1 (многоцветковая, ранняя, розовая) ИТАЛИЯ. Евро, 5</t>
  </si>
  <si>
    <t>I0000014685</t>
  </si>
  <si>
    <t>цветок Петуния Тальянка F1 (многоцветковая, пурпурного цвета) ИТАЛИЯ. Евро, 5</t>
  </si>
  <si>
    <t>цветок Петуния Танго F1  (розово-малиновая) . Евро, 10</t>
  </si>
  <si>
    <t>цветок Петуния Танюшка F1 (многоцветковая, низкорослая, лилово-розовая) . Евро, 10</t>
  </si>
  <si>
    <t>I0000014140</t>
  </si>
  <si>
    <t>цветок Петуния Элегия F1 (многоцветковая, джоконда, сиренево-фиолетовая с сиренево-белым центром)  ИТАЛИЯ. Евро, 5</t>
  </si>
  <si>
    <t>I0000014695</t>
  </si>
  <si>
    <t>цветок Петуния Элиза F1 (многоцв.кремово-желтая ) ИТАЛИЯ. Евро, 5</t>
  </si>
  <si>
    <t>I0000014130</t>
  </si>
  <si>
    <t>цветок Петуния Ядвига F1 (многоцветковая, кэнди, темно-фиолетово-синяя цвета с белой каймой)  ИТАЛИЯ. Евро, 10</t>
  </si>
  <si>
    <t>цветок Пиретрум Трубадур (гибридный, гигант робинзона, смесь красной, розовой, белой окраски) . Евро, 0,1</t>
  </si>
  <si>
    <t>цветок Платикодон (ширококолокольчик) Блюз (крупноцветковый, белый) . Евро, 0,1</t>
  </si>
  <si>
    <t>цветок Подсолнечник Айс крим (увечный, кремовый с темным центром) . Евро, 0,05</t>
  </si>
  <si>
    <t>цветок Подсолнечник Осенний красавец (масличный, высокорослый, смесь с золотисто-желтых, красных и коричневых цветов) . Евро, 1</t>
  </si>
  <si>
    <t>цветок Подсолнечник Папа Тэдди (масличный, высокорослый, махровый, золотисто-желтый) . Евро, 1</t>
  </si>
  <si>
    <t>цветок Портулак Аленький цветочек (крупноцветковый, махровый, ярко-красный) . Евро, 0,04</t>
  </si>
  <si>
    <t>цветок Портулак Вспышка (крупноцветковый, махровый, оранжевый) . Евро, 0,06</t>
  </si>
  <si>
    <t>цветок Портулак Солнечный (крупноцветковый, махровый, ярко-желтый) . Евро, 0,06</t>
  </si>
  <si>
    <t>цветок Портулак Цветик-семицветик (крупноцветковый, махровый, смесь цветов) . Евро, 0,1</t>
  </si>
  <si>
    <t>I0000014153</t>
  </si>
  <si>
    <t>бесстебельная Белиссима</t>
  </si>
  <si>
    <t>цветок Примула Блу Джинс F1 (бесстебельная, в бело-синюю полоску с ярко-желтой сердцевиной)  . Евро, 5</t>
  </si>
  <si>
    <t>I0000014156</t>
  </si>
  <si>
    <t>цветок Примула Будда F1 (бесстебельная, пурпурная с ярко-желтой звездой) ИТАЛИЯ. Евро, 5</t>
  </si>
  <si>
    <t>I0000014159</t>
  </si>
  <si>
    <t>цветок Примула Вивьен F1 (бесстебельная, ярко-желто-оранжевая) ИТАЛИЯ. Евро, 5</t>
  </si>
  <si>
    <t>I0000014150</t>
  </si>
  <si>
    <t>цветок Примула Дебютантка F1 (мягковатая, полумахровая смесь белых, розовых и ярко-малиновых тонов) ИТАЛИЯ. Евро, 5</t>
  </si>
  <si>
    <t>цветок Примула Карнавал (бесстебельная, смесь цветов) . Евро, 0,02</t>
  </si>
  <si>
    <t>I0000014151</t>
  </si>
  <si>
    <t>цветок Примула Лимончелло F1 (бесстебельная, нежно-желтая)  ИТАЛИЯ. Евро, 5</t>
  </si>
  <si>
    <t>I0000014158</t>
  </si>
  <si>
    <t>цветок Примула Маджента F1 (бесстебельная, розово-малиновая с ярко-желтой звездой) ИТАЛИЯ  . Евро, 5</t>
  </si>
  <si>
    <t>цветок Примула Марго (многоцветковая, смесь цветов) . Евро, 0,1</t>
  </si>
  <si>
    <t>I0000014154</t>
  </si>
  <si>
    <t>цветок Примула Монмартр F1 (бесстебельная, желто-оранжево-коричневая с оранжевой каймой) ИТАЛИЯ. Евро, 5</t>
  </si>
  <si>
    <t>I0000014152</t>
  </si>
  <si>
    <t>бесстебельная Грандиссима</t>
  </si>
  <si>
    <t>цветок Примула Октава F1 (бесстебельная, темно-фиолетовая с ярко-желтой звездочкой)  ИТАЛИЯ. Евро, 5</t>
  </si>
  <si>
    <t>I0000014155</t>
  </si>
  <si>
    <t>цветок Примула Регина F1 (бесстебельная, насыщенно-розовая с ярко-желтой звездой) ИТАЛИЯ . Евро, 5</t>
  </si>
  <si>
    <t>цветок Ратибида Сомбреро (колоновидная, красно-коричневая с желтой каймой и белым центром) . Евро, 0,1</t>
  </si>
  <si>
    <t>цветок Резеда Романтика (душистая, оранжево-красная) . Евро, 1</t>
  </si>
  <si>
    <t>цветок Роза Крылья ангела (китайская, от белого до насыщенно-розового) . Евро, 0,1</t>
  </si>
  <si>
    <t>цветок Рудбекия Золотой луч (блестящая, золотисто-желтая с темно-пурпуровым центром) . Евро, 0,05</t>
  </si>
  <si>
    <t>цветок Рудбекия Летка-Енка (волосистая, махровая, ярко-желтая) . Евро, 0,05</t>
  </si>
  <si>
    <t>цветок Рудбекия Мармелад  (волосистая, желто-оранжевая с коричневым центром) . Евро, 0,1</t>
  </si>
  <si>
    <t>цветок Рудбекия Осенний лес (волосистая, золотисто-бронзовая с темным центром) . Евро, 0,3</t>
  </si>
  <si>
    <t>цветок Сальвия Розовый замок (хорминовая, насыщенно-розовая)  . Евро, 0,25</t>
  </si>
  <si>
    <t>цветок Сальвия Скарлет Пикколо (блестящая, низкорослая, огненно-красная) . Евро, 0,1</t>
  </si>
  <si>
    <t>цветок Сальвия Фарао (блестящая, низкорослая, смесь красной, лиловой, фиолетовой и белой окраски) . Евро, 0,05</t>
  </si>
  <si>
    <t>цветок Сальвия Фигаро (хорминовая, темно-синяя) . Евро, 0,25</t>
  </si>
  <si>
    <t>цветок Сальпиглоссис Супер (выемчатый, смесь цветов) . Евро, 0,1</t>
  </si>
  <si>
    <t>цветок Санвиталия Медовый спас (распростертая, золотисто-желтая с темно-коричневым центром) . Евро, 0,1</t>
  </si>
  <si>
    <t>цветок Сапонария Камилла (базиликолистная, розовая) . Евро, 0,5</t>
  </si>
  <si>
    <t>цветок Сафлор Мороз-воевода (красильный, молочно-белый) . Евро, 1</t>
  </si>
  <si>
    <t>цветок Сетария Зимний букет (щетинистая, соцветие - лисий хвост от светло-зеленой до соломенно-желтой окраски) . Евро, 0,5</t>
  </si>
  <si>
    <t>цветок Синеголовник Фанфарон  (плосколистный, синий или голубой) . Евро, 0,5</t>
  </si>
  <si>
    <t>цветок Скабиоза Бенефис (вид: темно-пурпуровая, махровая смесь цветов) . Евро, 0,3</t>
  </si>
  <si>
    <t>цветок Скабиоза Готика (вид: звездчатая, головчатые сферические соцветия) . Евро, 1</t>
  </si>
  <si>
    <t>цветок Скабиоза Лариса (вид: темно-пурпуровая, пурпурная почти черная) . Евро, 0,1</t>
  </si>
  <si>
    <t>цветок Смолевка (силена) Джамбо (небесная роза, смесь голубых, розовых, лиловые, белых цветов) . Евро, 0,5</t>
  </si>
  <si>
    <t>цветок Спаржевый горох Салоники (четырехкрыльник пурпурный, ярко-красный) . Евро, 0,5</t>
  </si>
  <si>
    <t>цветок Спилантес Мятный вкус (огородный, желто коричневый). Евро, 0,05</t>
  </si>
  <si>
    <t>цветок Статице Мерцание (выемчатый, смесь в сине-фиолетовых, белых, розовых, желтых цветов) . Евро, 0,2</t>
  </si>
  <si>
    <t>цветок Стахис Нежность (византийский, цветки розово-лиловые и сиреневые, листья серебристо-белые) . Евро, 0,1</t>
  </si>
  <si>
    <t>цветок Схизантус Мотылёк (визетонский, смесь пестрых цветов) . Евро, 0,2</t>
  </si>
  <si>
    <t>цветок Тагетес Апельсиновый рай (прямостоячий, высокорослый, золотисто-оранжевый) . Евро, 0,2</t>
  </si>
  <si>
    <t>цветок Тагетес Бонита (отклоненный, низкорослый, смесь желтых, оранжевых, красно-коричневых цветов) . Евро, 0,2</t>
  </si>
  <si>
    <t>цветок Тагетес Гавайи (прямостоячий, темно-оранжевый) . Евро, 0,2</t>
  </si>
  <si>
    <t>цветок Тагетес Голден Эйдж (прямостоячий, низкорослый, золотисто-оранжевый) . Евро, 0,25</t>
  </si>
  <si>
    <t>цветок Тагетес Золотой помпон (прямостоячий, низкорослый, золотисто-желтый) . Евро, 0,2</t>
  </si>
  <si>
    <t>цветок Тагетес Клаус (отклоненный, низкорослый, скабиозовидный, золотисто-желтый с коричневыми пятнами) . Евро, 0,1</t>
  </si>
  <si>
    <t>цветок Тагетес Коррида (отклоненный, низкорослый-20 см, красный) . Евро, 0,1</t>
  </si>
  <si>
    <t>цветок Тагетес Круиз (отклоненный, низкорослый, красно-коричневый с желтым краем) . Евро, 0,2</t>
  </si>
  <si>
    <t>цветок Тагетес Легион Оф Хоноур (отклоненный, низкорослый, золотисто-желтый с коричневыми пятнами) . Евро, 0,2</t>
  </si>
  <si>
    <t>цветок Тагетес Лимонный принц (прямостоячий, низкорослый, лимонно-желтый) . Евро, 0,25</t>
  </si>
  <si>
    <t>цветок Тагетес Лулу (узколистный, лимонно-желтый) . Евро, 0,1</t>
  </si>
  <si>
    <t>цветок Тагетес Малютка (отклоненный, низкорослый, смесь лимонно-жёлтых, оранжевых, красно-коричневых цветов) . Евро, 0,1</t>
  </si>
  <si>
    <t>цветок Тагетес Мари Хелен (прямостоячий, светло-желтый) . Евро, 0,25</t>
  </si>
  <si>
    <t>цветок Тагетес Мюзик-Холл (прямостоячий, хризантемовидная смесь желтых и оранжевых оттенков) . Евро, 0,1</t>
  </si>
  <si>
    <t>цветок Тагетес Огниво (отклоненный, низкорослый, коричнево-красный) . Евро, 0,1</t>
  </si>
  <si>
    <t>цветок Тагетес Полосатое чудо (отклоненный, золотисто-желтый с бронзово-бордовыми штрихами) . Евро, 0,1</t>
  </si>
  <si>
    <t>цветок Тагетес Сивка-Бурка (отклоненный, низкорослый, коричневый с желтой окантовкой) . Евро, 0,2</t>
  </si>
  <si>
    <t>цветок Тагетес Спектр (прямостоячий, смесь оранжевых, абрикосовых, желтых цветов) . Евро, 0,25</t>
  </si>
  <si>
    <t>цветок Тагетес Тигровый глаз (отклоненный, низкорослый, терракотово-красный с желтым центром) . Евро, 0,1</t>
  </si>
  <si>
    <t>цветок Тагетес Урсула (узколистный, , золотисто-желтые с оранжевым рисунком) . Евро, 0,1</t>
  </si>
  <si>
    <t>цветок Тагетес Шейх (прямостоячий, хризантемовидный, темно-оранжевый) . Евро, 0,1</t>
  </si>
  <si>
    <t>цветок Тагетес Янтарный остров (прямостоячий, низкорослый, золотисто-желтый) . Евро, 0,1</t>
  </si>
  <si>
    <t>цветок Тимьян (чабрец) Колхида (ползучий, розовато-лиловый) . Евро, 0,05</t>
  </si>
  <si>
    <t>цветок Титония Илиада (ярко-красная с желтым центром) . Евро, 0,5</t>
  </si>
  <si>
    <t>цветок Толпис Трын-трава (бородатый, ярко-желтый с темно-коричневым центром) . Евро, 0,1</t>
  </si>
  <si>
    <t>цветок Тунбергия Экспресс (крылатая, соломенно- или кремово-желтая с темно-лиловым центром) . Евро, 1</t>
  </si>
  <si>
    <t>цветок Фацелия Дюймовочка (колокольчатая, ярко-синяя) . Евро, 0,5</t>
  </si>
  <si>
    <t>цветок Фацелия Сиреневая дымка (колокольчатая, пурша, сиренево-синяя) . Евро, 0,5</t>
  </si>
  <si>
    <t>цветок Фиалка Анатолия (вид: рогатая, оранжевая) . Евро, 0,05</t>
  </si>
  <si>
    <t>цветок Фиалка Балтийский берег (вид: витрокка, красно-желтая). Евро, 5</t>
  </si>
  <si>
    <t>цветок Фиалка Бархатный ковер  (вид: витрокка, швейцарский гигант, смесь цветов) . Евро, 0,05</t>
  </si>
  <si>
    <t>цветок Фиалка Восход солнца (вид: витрокка, швейцарский гигант, ярко-желто-оранжевая) . Евро, 0,05</t>
  </si>
  <si>
    <t>цветок Фиалка Горная вершина (вид: витрокка, швейцарский гигант, белая с желтым центром) . Евро, 0,05</t>
  </si>
  <si>
    <t>цветок Фиалка Дракоша (вид: витрокка, швейцарский гигант, желто-красная с темным пятном) . Евро, 0,05</t>
  </si>
  <si>
    <t>цветок Фиалка Кларет (вид: витрокка, швейцарский гигант, винно-красная с черным пятном) . Евро, 0,05</t>
  </si>
  <si>
    <t>цветок Фиалка Конфетти (виола вильямса, мелкоцветковая, лиловые с бело-желтым) . Евро, 0,01</t>
  </si>
  <si>
    <t>цветок Фиалка Коринка  . Евро, 10</t>
  </si>
  <si>
    <t>цветок Фиалка Лаура (вид: витрокка, швейцарский гигант, лилово-розовая с черным пятном и ярко-желтым центром) . Евро, 0,05</t>
  </si>
  <si>
    <t>цветок Фиалка Рококо (вид: Витрокка, кружевная смесь красных, лиловых, голубых, желтых цветов) . Евро, 0,05</t>
  </si>
  <si>
    <t>цветок Фиалка Ураган (вид: витрокка, швейцарский гигант, темно-фиолетовая с черным пятном) . Евро, 0,05</t>
  </si>
  <si>
    <t>цветок Фиалка Хелен маунт (вид: рогатая, от светло-лиловых до темно-фиолетовых тонов с желтым центром)  . Евро, 0,1</t>
  </si>
  <si>
    <t>цветок Фиалка Шотландия (рогатая, гибридная смесь белых, желтых, лиловых, двуцветных цветов) . Евро, 0,05</t>
  </si>
  <si>
    <t>цветок Физалис Оранжевый фонарик (франше, цветки бело-желтые, плоды - ярко-оранжевые фонарики) . Евро, 0,1</t>
  </si>
  <si>
    <t>цветок Флокс Галактика (друммонда, низкорослая смесь звездчатых, двуцветных цветов) . Евро, 0,25</t>
  </si>
  <si>
    <t>цветок Флокс Желтые переливы (друммонда, низкорослый, от нежно- желтого до светло-оранжевого) . Евро, 0,2</t>
  </si>
  <si>
    <t>цветок Флокс Красные переливы (друммонда, низкорослый, ярко-красный) . Евро, 0,2</t>
  </si>
  <si>
    <t>цветок Флокс Эдмонд (друммонда, крупноцветковый, кремово-желтый) . Евро, 0,2</t>
  </si>
  <si>
    <t>цветок Хейрантус (лакфиоль) Мотыльки (вид: чери, смесь цветов) . Евро, 1</t>
  </si>
  <si>
    <t>цветок Хризантема Глория (посевная, золотисто-желтая с темно-желтым центром) . Евро, 0,5</t>
  </si>
  <si>
    <t>цветок Хризантема Жозефина (увенчанная, смесь бело-кремовых и желтых цветов) . Евро, 0,2</t>
  </si>
  <si>
    <t>цветок Целозия Викинг (перистая, ярко-алая) . Евро, 0,2</t>
  </si>
  <si>
    <t>цветок Целозия Корал Гарден (гребенчатая, низкорослая смесь цветов от розовой, оранжевой, желтой, до красной и пурпурной) . Евро, 0,2</t>
  </si>
  <si>
    <t>цветок Целозия Турецкий марш (перистая, огненно-красная) . Евро, 0,1</t>
  </si>
  <si>
    <t>цветок Целозия Фламандец (перистая, золотисто-желтая) . Евро, 0,2</t>
  </si>
  <si>
    <t>I0000015130</t>
  </si>
  <si>
    <t>цветок Целозия Шанхай (перистая, малиновая, лист пурпурный) . Евро, 0,1</t>
  </si>
  <si>
    <t>цветок Цинерария Кэндикенс (морская, листья серебристые пальчатораздельные) . Евро, 0,1</t>
  </si>
  <si>
    <t>цветок Цинния Арлекин (изящная, георгиновидная смесь цветов со штрихами и пятнами) . Евро, 0,5</t>
  </si>
  <si>
    <t>цветок Цинния Голден Стейт (изящная, георгиновидная, золотисто-желтая) . Евро, 0,5</t>
  </si>
  <si>
    <t>цветок Цинния Золушка (изящная, карликовая, махровая смесь цветов) . Евро, 0,5</t>
  </si>
  <si>
    <t>цветок Цинния Кэнди Страйп (изящная, хризантемовидная, смесь пестрых цветов) . Евро, 0,5</t>
  </si>
  <si>
    <t>цветок Цинния Карусель (изящная, махровая смесь красных, малиновых, оранжевых цветов с желтым и белым кантом) . Евро, 0,5</t>
  </si>
  <si>
    <t>цветок Цинния Мамбо (изящная, георгиновидная, смесь белых, желтых, розовых, красных, лиловых цветов) . Евро, 0,5</t>
  </si>
  <si>
    <t>цветок Цинния Пантомима (изящная, махровая смесь цветов) . Евро, 0,5</t>
  </si>
  <si>
    <t>цветок Цинния Пенелопа (изящная, махровая смесь белых, желтых, оранжевых, розовых, с красными штрихами цветов) . Евро, 0,2</t>
  </si>
  <si>
    <t>цветок Цинния Полярный медведь (изящная, георгиновидная, белая с зеленоватым оттенком) . Евро, 0,2</t>
  </si>
  <si>
    <t>цветок Цинния Рапсодия (изящная, кактусовидная, смесь белых, желтых, оранжевых, красных, пурпурных цветов) . Евро, 0,5</t>
  </si>
  <si>
    <t>цветок Цинния Русалочка (изящная, георгиновидная, светло-зеленая) . Евро, 0,3</t>
  </si>
  <si>
    <t>цветок Цинния Санта Мария (изящная, георгиновидная, смесь желтых, красных, розовых, лососевых, сиреневых цветов) . Евро, 0,5</t>
  </si>
  <si>
    <t>цветок Цинния Сеньорита (изящная, кактусовидная, нежно-розовая) . Евро, 0,25</t>
  </si>
  <si>
    <t>цветок Цинния Скарлет  Флейм  (изящная, георгиновидная, огненно-красная) . Евро, 0,5</t>
  </si>
  <si>
    <t>цветок Цинния Старый Мехико (узколистная, коричнево-красная, темно-оранжевая с золотистыми кончиками) . Евро, 0,3</t>
  </si>
  <si>
    <t>цветок Цинния Фантастика (изящная, скабиозовидная, смесь молочной, желтой, оранжевой, красной, пурпурной окраски) . Евро, 0,3</t>
  </si>
  <si>
    <t>цветок Цинния Фестиваль (изящная, георгиновидная, смесь цветов) . Евро, 0,5</t>
  </si>
  <si>
    <t>цветок Цинния Черри Куин (изящная, георгиновидная, вишнево-красные) . Евро, 0,5</t>
  </si>
  <si>
    <t>I0000016479</t>
  </si>
  <si>
    <t>цветок Цинния Эльдорадо (белая) ИТАЛИЯ. Евро, 5</t>
  </si>
  <si>
    <t>I0000016478</t>
  </si>
  <si>
    <t>цветок Цинния Эльдорадо (красная) ИТАЛИЯ. Евро, 5</t>
  </si>
  <si>
    <t>I0000016477</t>
  </si>
  <si>
    <t>цветок Цинния Эльдорадо (розовая) ИТАЛИЯ. Евро, 5</t>
  </si>
  <si>
    <t>цветок Циноглоссум (чернокорень) Небосвод (вид: приятный, цвет: голубой) . Евро, 0,5</t>
  </si>
  <si>
    <t>цветок Шпинат Грильяж (земляничный, цветки - ярко-красные соплодия-клубочки как ягоды) . Евро, 0,1</t>
  </si>
  <si>
    <t>цветок Шток-роза Аксинья (вид: мальва розовая, цвет: бордовая) . Евро, 0,1</t>
  </si>
  <si>
    <t>цветок Шток-роза Арина (вид: мальва розовая, цвет: ярко-розовая) . Евро, 0,1</t>
  </si>
  <si>
    <t>цветок Шток-роза Арина (вид: мальва розовая, цвет: ярко-розовая) . Евро</t>
  </si>
  <si>
    <t>цветок Шток-роза Карнавал  (вид: мальва розовая, смесь белых, желтых, розовых, малиновых, бордовых цветов) . Евро, 0,05</t>
  </si>
  <si>
    <t>цветок Шток-роза Королева красоты (вид: мальва розовая, цвет: ярко-розовая) . Евро, 0,1</t>
  </si>
  <si>
    <t>цветок Шток-роза Красна-девица (вид: мальва розовая, цвет: красная) . Евро, 0,1</t>
  </si>
  <si>
    <t>цветок Шток-роза Маргарита (вид: мальва розовая, цвет: фиолетовая) . Евро, 0,1</t>
  </si>
  <si>
    <t>цветок Шток-роза Ника (вид: мальва розовая, цвет: золотисто-желтая) . Евро, 0,1</t>
  </si>
  <si>
    <t>цветок Шток-роза Рогнеда (вид: мальва розовая, цвет: белоснежная) . Евро, 0,1</t>
  </si>
  <si>
    <t>цветок Шток-роза Розина (вид: мальва розовая, цвет: нежно-лососево-розовая) . Евро, 0,1</t>
  </si>
  <si>
    <t>цветок Шток-роза Устинья (вид: мальва розовая, цвет: розовая) . Евро, 0,1</t>
  </si>
  <si>
    <t>цветок Шток-роза Южная ночь (вид: мальва розовая, цвет: темно-шоколадная) . Евро, 0,2</t>
  </si>
  <si>
    <t>цветок Эккремокарпус Волшебная флейта (шероховатый, смесь красной, оранжевой или желтой окраски) . Евро, 0,02</t>
  </si>
  <si>
    <t>цветок Энотера  Вольный  ветер (вид: бледная, цвет: белая) . Евро, 0,1</t>
  </si>
  <si>
    <t>цветок Энотера  Сольвейг (миссурийская, золотисто-желтая) . Евро, 0,2</t>
  </si>
  <si>
    <t>цветок Эхинацея Белый лебедь (вид: пурпурная, цвет: белая с желто-зеленым центром) . Евро, 0,1</t>
  </si>
  <si>
    <t>цветок Эхинопс Фантазер (мордовник обыкновенный, синий) . Евро, 0,1</t>
  </si>
  <si>
    <t>цветок Эхиум Пилигрим (синяк подорожниковый, смесь белой, розовой, голубой окраски) . Евро, 0,5</t>
  </si>
  <si>
    <t>цветок Эшшольция Аленький цветочек (калифорнийская, алая с желт центром). Евро, 0,06</t>
  </si>
  <si>
    <t>цветок Эшшольция Атласный лепесток (калифорнийская, ало-красная) . Евро, 0,25</t>
  </si>
  <si>
    <t>цветок Эшшольция Земляничная поляна (калифорнийская, карминно-розовая) . Евро, 0,2</t>
  </si>
  <si>
    <t>цветок Эшшольция Сан-Франциско (калифорнийская, смесь простых и махровых цветов разной окраски) . Евро, 0,25</t>
  </si>
  <si>
    <t>цветок Ясколка Нежность (вид: биберштейна, белая). Евро, 0,1</t>
  </si>
  <si>
    <t>ШПИНАТ</t>
  </si>
  <si>
    <t>I0000013235</t>
  </si>
  <si>
    <t>шпинат Ажур(ср.ран.,ОГ/ПУ.,крупн.,овал.,ср.-пузырчат.,ярк-зелен.,сочн.) . Евро, 2</t>
  </si>
  <si>
    <t>шпинат Жирнолистный(ср.спел.,ОГ/парн.,крупн.,овал.,сл-гафриров.,зелен.) . Евро, 2</t>
  </si>
  <si>
    <t>шпинат Жирнолистный(ср.спел.,ОГ/парн.,крупн.,овал.,сл-гафриров.,зелен.) . МФ, 2</t>
  </si>
  <si>
    <t>шпинат Застольный(ср.ран.,ОГ/ПУ.,крупн.,овал.,ср.-пузырчат.,толст.,т-зелен.) . Евро, 2</t>
  </si>
  <si>
    <t>шпинат Исполинский  ®(ХИТ! ран.спел.,ОГ/парн.,крупн.,овал.,сл.-пузырчат.,св-зелен.) . Евро, 2</t>
  </si>
  <si>
    <t>шпинат Исполинский  ®(ХИТ! ран.спел.,ОГ/парн.,крупн.,овал.,сл.-пузырчат.,св-зелен.) . МФ, 2</t>
  </si>
  <si>
    <t>шпинат Маркиза(ран.спел.,ОГ/ЗГ.,ср.велич.,овал.,т-зелен.) . Евро, 2</t>
  </si>
  <si>
    <t>шпинат Матадор(ср.ран.,ОГ/парн.,овал.,зелен.) . Евро, 2</t>
  </si>
  <si>
    <t>шпинат Матадор(ср.ран.,ОГ/парн.,овал.,зелен.) . МФ, 2</t>
  </si>
  <si>
    <t>шпинат Новозеландский(поздн.спел.,ОГ/парн.,черешк.,овал.-треуг.,зубчат.,мясист.,т-зелен.) . Евро, 1</t>
  </si>
  <si>
    <t>шпинат Повар Миша(ран.спел.,ОГ/ПУ.,крупн.,широкоовал.,пузырчат.,т-зелен.) . Евро, 2</t>
  </si>
  <si>
    <t>ЩАВЕЛЬ</t>
  </si>
  <si>
    <t>щавель Бельвильский 0,5 г(ран.спел.,ОГ, овал-удл.,ярк-зелен.) . Евро, 0,5</t>
  </si>
  <si>
    <t>щавель Бельвильский 0,5 г(ран.спел.,ОГ, овал-удл.,ярк-зелен.) . МФ, 0,5</t>
  </si>
  <si>
    <t>щавель Высокогорный(ран.спел.,ОГ, удл.,крупн.,ярк-зелен.) . Евро, 0,3</t>
  </si>
  <si>
    <t>щавель Крупнолистный (ран.спел.,ОГ, удл-овал.,крупн.,св-зелен.) . Евро, 0,5</t>
  </si>
  <si>
    <t>щавель Крупнолистный (ран.спел.,ОГ, удл-овал.,крупн.,св-зелен.) . МФ, 0,5</t>
  </si>
  <si>
    <t>щавель Русские Щи 0,5 г(ХИТ! ран.спел.,ОГ, удл-овал.,гладк.,т-зелен.) . Евро, 0,5</t>
  </si>
  <si>
    <t>щавель Толстолистный 0,5 г(ран.спел.,ОГ, удл-яйцевидн.,крупн.,ярк-зелен.) . Евро, 0,5</t>
  </si>
  <si>
    <t>щавель Толстолистный 0,5 г(ран.спел.,ОГ, удл-яйцевидн.,крупн.,ярк-зелен.) . МФ, 0,5</t>
  </si>
  <si>
    <t>щавель Трапеза (ср.спел.,ОГ, удл-овал.,сл.-пузырчат.,крупн.,ярк-зелен.) . Евро, 0,5</t>
  </si>
  <si>
    <t>щавель Чемпион 0,5 г(ср.спел.,ОГ, удл-овал.,крупн.,зелен.) . Евро, 0,5</t>
  </si>
  <si>
    <t>щавель Широколистный(ран.спел.,ОГ/ПУ, удл-яйцевидн.,гладк.,сл.-пузырч.,т-зелен.) . Евро, 0,5</t>
  </si>
  <si>
    <t>щавель Широколистный(ран.спел.,ОГ/ПУ, удл-яйцевидн.,гладк.,сл.-пузырч.,т-зелен.) . МФ, 0,5</t>
  </si>
  <si>
    <t>ЯГОДА</t>
  </si>
  <si>
    <t>ягода Брусника  крупноплодная Коралл(вечнозел.,многолетн.п/куст.,окр.,св.-красн.,кисл-сладк.,освеж.,0,4-0,5 г.). Евро, 0,05</t>
  </si>
  <si>
    <t>ягода Голубика канадская Нектарная(многолетн.куст.,овал.,син.с сиз.налет..,кисл-сладк.,0,6-1,0 г.). Евро, 0,05</t>
  </si>
  <si>
    <t>I0000000651</t>
  </si>
  <si>
    <t>ягода Ежевика Агавам(ср.росл.куст.,овал.,черн.,кисл-сладк.,ароматн.,4,5-5 г.). Евро, 0,05</t>
  </si>
  <si>
    <t>ягода Клюква  Королева сада (садовая) 0,05(вечнозел.куст.,окр.,т.-красн.,кисл.,1,7-1,9 г.). Евро, 0,05</t>
  </si>
  <si>
    <t>ягода Клюква  Красавица (вечнозел.куст.,окр-овал.,пурп-красн.,кисл.,2-2,5 г.). Евро, 0,05</t>
  </si>
  <si>
    <t>I0000000649</t>
  </si>
  <si>
    <t>ягода Малина Красная  Рубин(пряморосл.куст.,окр.,т.-малин.,сладк.,ароматн.,3-3,5 г.). Евро, 0,05</t>
  </si>
  <si>
    <t>10000руб - при отгрузке с оптового склада (самовывоз)</t>
  </si>
  <si>
    <t xml:space="preserve">Уважаемые партнеры! Следите за нашей рекламной E-mail рассылкой. Скачивайте материалы, используйте их для продвижения на своих ресурсах. Если вам не приходит рассылка обратитесь к своему менеджеру или в службу маркетинга по ЭП: marketing@sedek.ru  </t>
  </si>
  <si>
    <t>ТОВАРЫ НЕДЕЛИ. Красным цветом выделены названия сортов, на которые в период с  01.03.25 по 31.03.25 действует дополнительная скидка 5%,цена указана с учетом скидки. Чтобы увидеть полный список сортов в акции, испоьзуйте фильтры по цвету ячеек.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</si>
</sst>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0.0"/>
    <numFmt numFmtId="166" formatCode="0.000"/>
  </numFmts>
  <fonts count="13" x14ac:knownFonts="1">
    <font>
      <sz val="8"/>
      <name val="Arial"/>
    </font>
    <font>
      <sz val="36"/>
      <name val="Arial"/>
      <family val="2"/>
      <charset val="1"/>
    </font>
    <font>
      <sz val="10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8"/>
      <color rgb="FF006400"/>
      <name val="Arial"/>
      <family val="2"/>
    </font>
    <font>
      <sz val="9"/>
      <color rgb="FF0000FF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0DCC0"/>
      </patternFill>
    </fill>
    <fill>
      <patternFill patternType="solid">
        <fgColor rgb="FFFFFAD9"/>
      </patternFill>
    </fill>
    <fill>
      <patternFill patternType="solid">
        <fgColor rgb="FFFFEFD5"/>
      </patternFill>
    </fill>
    <fill>
      <patternFill patternType="solid">
        <fgColor rgb="FFFFFFFF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  <fill>
      <patternFill patternType="solid">
        <fgColor rgb="FF008E4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justify" wrapText="1"/>
    </xf>
    <xf numFmtId="0" fontId="7" fillId="3" borderId="6" xfId="0" applyFont="1" applyFill="1" applyBorder="1" applyAlignment="1">
      <alignment horizontal="justify" wrapText="1"/>
    </xf>
    <xf numFmtId="0" fontId="7" fillId="3" borderId="4" xfId="0" applyFont="1" applyFill="1" applyBorder="1" applyAlignment="1">
      <alignment horizontal="justify" wrapText="1"/>
    </xf>
    <xf numFmtId="0" fontId="7" fillId="3" borderId="5" xfId="0" applyFont="1" applyFill="1" applyBorder="1" applyAlignment="1">
      <alignment horizontal="justify" wrapText="1"/>
    </xf>
    <xf numFmtId="0" fontId="7" fillId="3" borderId="3" xfId="0" applyFont="1" applyFill="1" applyBorder="1" applyAlignment="1">
      <alignment horizontal="left" wrapText="1" indent="3"/>
    </xf>
    <xf numFmtId="0" fontId="7" fillId="3" borderId="6" xfId="0" applyFont="1" applyFill="1" applyBorder="1" applyAlignment="1">
      <alignment horizontal="left" wrapText="1" indent="3"/>
    </xf>
    <xf numFmtId="0" fontId="7" fillId="3" borderId="4" xfId="0" applyFont="1" applyFill="1" applyBorder="1" applyAlignment="1">
      <alignment horizontal="left" wrapText="1" indent="3"/>
    </xf>
    <xf numFmtId="0" fontId="7" fillId="3" borderId="5" xfId="0" applyFont="1" applyFill="1" applyBorder="1" applyAlignment="1">
      <alignment horizontal="left" wrapText="1" indent="3"/>
    </xf>
    <xf numFmtId="0" fontId="7" fillId="3" borderId="3" xfId="0" applyFont="1" applyFill="1" applyBorder="1" applyAlignment="1">
      <alignment horizontal="left" wrapText="1" indent="6"/>
    </xf>
    <xf numFmtId="0" fontId="7" fillId="3" borderId="6" xfId="0" applyFont="1" applyFill="1" applyBorder="1" applyAlignment="1">
      <alignment horizontal="left" wrapText="1" indent="6"/>
    </xf>
    <xf numFmtId="0" fontId="7" fillId="3" borderId="4" xfId="0" applyFont="1" applyFill="1" applyBorder="1" applyAlignment="1">
      <alignment horizontal="left" wrapText="1" indent="6"/>
    </xf>
    <xf numFmtId="0" fontId="7" fillId="3" borderId="5" xfId="0" applyFont="1" applyFill="1" applyBorder="1" applyAlignment="1">
      <alignment horizontal="left" wrapText="1" indent="6"/>
    </xf>
    <xf numFmtId="164" fontId="9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wrapText="1"/>
    </xf>
    <xf numFmtId="1" fontId="10" fillId="5" borderId="1" xfId="0" applyNumberFormat="1" applyFont="1" applyFill="1" applyBorder="1" applyAlignment="1">
      <alignment horizontal="right" wrapText="1"/>
    </xf>
    <xf numFmtId="3" fontId="10" fillId="5" borderId="1" xfId="0" applyNumberFormat="1" applyFont="1" applyFill="1" applyBorder="1" applyAlignment="1">
      <alignment horizontal="right" wrapText="1"/>
    </xf>
    <xf numFmtId="2" fontId="10" fillId="5" borderId="1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left"/>
    </xf>
    <xf numFmtId="165" fontId="10" fillId="5" borderId="1" xfId="0" applyNumberFormat="1" applyFont="1" applyFill="1" applyBorder="1" applyAlignment="1">
      <alignment horizontal="right" wrapText="1"/>
    </xf>
    <xf numFmtId="164" fontId="9" fillId="5" borderId="1" xfId="0" applyNumberFormat="1" applyFont="1" applyFill="1" applyBorder="1" applyAlignment="1">
      <alignment horizontal="left"/>
    </xf>
    <xf numFmtId="164" fontId="9" fillId="6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1" fontId="10" fillId="6" borderId="1" xfId="0" applyNumberFormat="1" applyFont="1" applyFill="1" applyBorder="1" applyAlignment="1">
      <alignment horizontal="right" wrapText="1"/>
    </xf>
    <xf numFmtId="3" fontId="10" fillId="6" borderId="1" xfId="0" applyNumberFormat="1" applyFont="1" applyFill="1" applyBorder="1" applyAlignment="1">
      <alignment horizontal="right" wrapText="1"/>
    </xf>
    <xf numFmtId="2" fontId="10" fillId="6" borderId="1" xfId="0" applyNumberFormat="1" applyFont="1" applyFill="1" applyBorder="1" applyAlignment="1">
      <alignment horizontal="right"/>
    </xf>
    <xf numFmtId="0" fontId="12" fillId="6" borderId="1" xfId="0" applyFont="1" applyFill="1" applyBorder="1" applyAlignment="1">
      <alignment horizontal="left"/>
    </xf>
    <xf numFmtId="2" fontId="10" fillId="5" borderId="1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left"/>
    </xf>
    <xf numFmtId="165" fontId="10" fillId="6" borderId="1" xfId="0" applyNumberFormat="1" applyFont="1" applyFill="1" applyBorder="1" applyAlignment="1">
      <alignment horizontal="right" wrapText="1"/>
    </xf>
    <xf numFmtId="0" fontId="10" fillId="5" borderId="1" xfId="0" applyFont="1" applyFill="1" applyBorder="1" applyAlignment="1">
      <alignment horizontal="right" wrapText="1"/>
    </xf>
    <xf numFmtId="2" fontId="10" fillId="6" borderId="1" xfId="0" applyNumberFormat="1" applyFont="1" applyFill="1" applyBorder="1" applyAlignment="1">
      <alignment horizontal="right" wrapText="1"/>
    </xf>
    <xf numFmtId="166" fontId="10" fillId="5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164" fontId="9" fillId="7" borderId="1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wrapText="1"/>
    </xf>
    <xf numFmtId="1" fontId="10" fillId="7" borderId="1" xfId="0" applyNumberFormat="1" applyFont="1" applyFill="1" applyBorder="1" applyAlignment="1">
      <alignment horizontal="right" wrapText="1"/>
    </xf>
    <xf numFmtId="3" fontId="10" fillId="7" borderId="1" xfId="0" applyNumberFormat="1" applyFont="1" applyFill="1" applyBorder="1" applyAlignment="1">
      <alignment horizontal="right" wrapText="1"/>
    </xf>
    <xf numFmtId="2" fontId="10" fillId="7" borderId="1" xfId="0" applyNumberFormat="1" applyFont="1" applyFill="1" applyBorder="1" applyAlignment="1">
      <alignment horizontal="right"/>
    </xf>
    <xf numFmtId="0" fontId="12" fillId="7" borderId="1" xfId="0" applyFont="1" applyFill="1" applyBorder="1" applyAlignment="1">
      <alignment horizontal="left"/>
    </xf>
    <xf numFmtId="1" fontId="9" fillId="7" borderId="1" xfId="0" applyNumberFormat="1" applyFont="1" applyFill="1" applyBorder="1" applyAlignment="1">
      <alignment horizontal="left" wrapText="1"/>
    </xf>
    <xf numFmtId="165" fontId="10" fillId="7" borderId="1" xfId="0" applyNumberFormat="1" applyFont="1" applyFill="1" applyBorder="1" applyAlignment="1">
      <alignment horizontal="right" wrapText="1"/>
    </xf>
    <xf numFmtId="0" fontId="5" fillId="8" borderId="7" xfId="0" applyFont="1" applyFill="1" applyBorder="1" applyAlignment="1">
      <alignment horizont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0</xdr:rowOff>
    </xdr:from>
    <xdr:to>
      <xdr:col>5</xdr:col>
      <xdr:colOff>352425</xdr:colOff>
      <xdr:row>0</xdr:row>
      <xdr:rowOff>603250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19050</xdr:rowOff>
    </xdr:from>
    <xdr:to>
      <xdr:col>0</xdr:col>
      <xdr:colOff>628650</xdr:colOff>
      <xdr:row>51</xdr:row>
      <xdr:rowOff>600075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A1C0F5A8-74B6-4BED-9622-B253DD3C9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7" r="4167"/>
        <a:stretch>
          <a:fillRect/>
        </a:stretch>
      </xdr:blipFill>
      <xdr:spPr bwMode="auto">
        <a:xfrm>
          <a:off x="104775" y="9610725"/>
          <a:ext cx="523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3086"/>
  <sheetViews>
    <sheetView tabSelected="1" topLeftCell="A898" workbookViewId="0">
      <selection activeCell="M78" sqref="M78"/>
    </sheetView>
  </sheetViews>
  <sheetFormatPr defaultColWidth="10.1640625" defaultRowHeight="11.45" customHeight="1" outlineLevelRow="3" x14ac:dyDescent="0.2"/>
  <cols>
    <col min="1" max="1" width="12.83203125" style="1" customWidth="1"/>
    <col min="2" max="2" width="12" style="1" customWidth="1"/>
    <col min="3" max="3" width="6.5" style="1" customWidth="1"/>
    <col min="4" max="4" width="5.5" style="1" customWidth="1"/>
    <col min="5" max="5" width="15.5" style="1" customWidth="1"/>
    <col min="6" max="6" width="51.5" style="1" customWidth="1"/>
    <col min="7" max="7" width="7.33203125" style="1" customWidth="1"/>
    <col min="8" max="8" width="10" style="1" customWidth="1"/>
    <col min="9" max="9" width="9" style="1" customWidth="1"/>
    <col min="10" max="10" width="10.6640625" style="1" customWidth="1"/>
    <col min="11" max="11" width="13.5" style="1" customWidth="1"/>
    <col min="12" max="12" width="11.1640625" style="1" customWidth="1"/>
    <col min="13" max="13" width="11.5" style="1" customWidth="1"/>
    <col min="14" max="14" width="14.33203125" style="1" customWidth="1"/>
  </cols>
  <sheetData>
    <row r="1" spans="1:14" ht="50.1" customHeight="1" x14ac:dyDescent="0.5500000000000000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2.95" customHeight="1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6.1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2.95" customHeight="1" x14ac:dyDescent="0.2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2.95" customHeight="1" x14ac:dyDescent="0.2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12.95" customHeight="1" x14ac:dyDescent="0.2">
      <c r="A6" s="61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2.95" customHeight="1" x14ac:dyDescent="0.2">
      <c r="A7" s="63" t="s">
        <v>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2.95" customHeight="1" x14ac:dyDescent="0.2">
      <c r="A8" s="2" t="s">
        <v>3762</v>
      </c>
    </row>
    <row r="9" spans="1:14" ht="12.95" customHeight="1" x14ac:dyDescent="0.2">
      <c r="A9" s="2" t="s">
        <v>7</v>
      </c>
    </row>
    <row r="10" spans="1:14" ht="12.95" customHeight="1" x14ac:dyDescent="0.2">
      <c r="A10" s="2" t="s">
        <v>8</v>
      </c>
    </row>
    <row r="11" spans="1:14" ht="26.1" customHeight="1" x14ac:dyDescent="0.2">
      <c r="A11" s="64" t="s">
        <v>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4" ht="12.95" customHeight="1" x14ac:dyDescent="0.2">
      <c r="A12" s="2" t="s">
        <v>10</v>
      </c>
    </row>
    <row r="13" spans="1:14" ht="12.95" customHeight="1" x14ac:dyDescent="0.2">
      <c r="A13" s="63" t="s">
        <v>11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ht="12.95" customHeight="1" x14ac:dyDescent="0.2">
      <c r="A14" s="2" t="s">
        <v>12</v>
      </c>
    </row>
    <row r="15" spans="1:14" ht="12.95" customHeight="1" x14ac:dyDescent="0.2">
      <c r="A15" s="2" t="s">
        <v>13</v>
      </c>
    </row>
    <row r="16" spans="1:14" ht="12.95" customHeight="1" x14ac:dyDescent="0.2">
      <c r="A16" s="2" t="s">
        <v>14</v>
      </c>
    </row>
    <row r="17" spans="1:14" ht="26.1" customHeight="1" x14ac:dyDescent="0.2">
      <c r="A17" s="64" t="s">
        <v>15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4" ht="26.1" customHeight="1" x14ac:dyDescent="0.2">
      <c r="A18" s="64" t="s">
        <v>16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4" ht="12.95" customHeight="1" x14ac:dyDescent="0.2">
      <c r="A19" s="2" t="s">
        <v>17</v>
      </c>
    </row>
    <row r="20" spans="1:14" ht="12.95" customHeight="1" x14ac:dyDescent="0.2">
      <c r="A20" s="63" t="s">
        <v>18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12.95" customHeight="1" x14ac:dyDescent="0.2">
      <c r="A21" s="64" t="s">
        <v>19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ht="12.95" customHeight="1" x14ac:dyDescent="0.2">
      <c r="A22" s="2" t="s">
        <v>20</v>
      </c>
    </row>
    <row r="23" spans="1:14" ht="12.95" customHeight="1" x14ac:dyDescent="0.2">
      <c r="A23" s="2" t="s">
        <v>21</v>
      </c>
    </row>
    <row r="24" spans="1:14" ht="12.95" customHeight="1" x14ac:dyDescent="0.2">
      <c r="A24" s="63" t="s">
        <v>22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2.95" customHeight="1" x14ac:dyDescent="0.2">
      <c r="A25" s="2" t="s">
        <v>23</v>
      </c>
    </row>
    <row r="26" spans="1:14" ht="12.95" customHeight="1" x14ac:dyDescent="0.2">
      <c r="A26" s="2" t="s">
        <v>24</v>
      </c>
    </row>
    <row r="27" spans="1:14" ht="12.95" customHeight="1" x14ac:dyDescent="0.2">
      <c r="A27" s="2" t="s">
        <v>25</v>
      </c>
    </row>
    <row r="28" spans="1:14" ht="12.95" customHeight="1" x14ac:dyDescent="0.2">
      <c r="A28" s="63" t="s">
        <v>26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14" ht="12.95" customHeight="1" x14ac:dyDescent="0.2">
      <c r="A29" s="65" t="s">
        <v>27</v>
      </c>
      <c r="B29" s="65"/>
      <c r="C29" s="65"/>
      <c r="D29" s="65"/>
      <c r="E29" s="3"/>
      <c r="F29" s="66"/>
      <c r="G29" s="66"/>
      <c r="H29" s="66"/>
      <c r="I29" s="66"/>
      <c r="J29" s="66"/>
      <c r="K29" s="66"/>
      <c r="L29" s="66"/>
      <c r="M29" s="66"/>
      <c r="N29" s="66"/>
    </row>
    <row r="30" spans="1:14" ht="12.95" customHeight="1" x14ac:dyDescent="0.2">
      <c r="A30" s="65" t="s">
        <v>28</v>
      </c>
      <c r="B30" s="65"/>
      <c r="C30" s="65"/>
      <c r="D30" s="65"/>
      <c r="E30" s="3"/>
      <c r="F30" s="66"/>
      <c r="G30" s="66"/>
      <c r="H30" s="66"/>
      <c r="I30" s="66"/>
      <c r="J30" s="66"/>
      <c r="K30" s="66"/>
      <c r="L30" s="66"/>
      <c r="M30" s="66"/>
      <c r="N30" s="66"/>
    </row>
    <row r="31" spans="1:14" ht="12.95" customHeight="1" x14ac:dyDescent="0.2">
      <c r="A31" s="65" t="s">
        <v>29</v>
      </c>
      <c r="B31" s="65"/>
      <c r="C31" s="65"/>
      <c r="D31" s="65"/>
      <c r="E31" s="3"/>
      <c r="F31" s="66"/>
      <c r="G31" s="66"/>
      <c r="H31" s="66"/>
      <c r="I31" s="66"/>
      <c r="J31" s="66"/>
      <c r="K31" s="66"/>
      <c r="L31" s="66"/>
      <c r="M31" s="66"/>
      <c r="N31" s="66"/>
    </row>
    <row r="32" spans="1:14" ht="12.95" customHeight="1" x14ac:dyDescent="0.2">
      <c r="A32" s="65" t="s">
        <v>30</v>
      </c>
      <c r="B32" s="65"/>
      <c r="C32" s="65"/>
      <c r="D32" s="65"/>
      <c r="E32" s="3"/>
      <c r="F32" s="66"/>
      <c r="G32" s="66"/>
      <c r="H32" s="66"/>
      <c r="I32" s="66"/>
      <c r="J32" s="66"/>
      <c r="K32" s="66"/>
      <c r="L32" s="66"/>
      <c r="M32" s="66"/>
      <c r="N32" s="66"/>
    </row>
    <row r="33" spans="1:14" ht="12.95" customHeight="1" x14ac:dyDescent="0.2">
      <c r="A33" s="65" t="s">
        <v>31</v>
      </c>
      <c r="B33" s="65"/>
      <c r="C33" s="65"/>
      <c r="D33" s="65"/>
      <c r="E33" s="3"/>
      <c r="F33" s="66"/>
      <c r="G33" s="66"/>
      <c r="H33" s="66"/>
      <c r="I33" s="66"/>
      <c r="J33" s="66"/>
      <c r="K33" s="66"/>
      <c r="L33" s="66"/>
      <c r="M33" s="66"/>
      <c r="N33" s="66"/>
    </row>
    <row r="34" spans="1:14" ht="12.95" customHeight="1" x14ac:dyDescent="0.2">
      <c r="A34" s="65" t="s">
        <v>32</v>
      </c>
      <c r="B34" s="65"/>
      <c r="C34" s="65"/>
      <c r="D34" s="65"/>
      <c r="E34" s="3"/>
      <c r="F34" s="66"/>
      <c r="G34" s="66"/>
      <c r="H34" s="66"/>
      <c r="I34" s="66"/>
      <c r="J34" s="66"/>
      <c r="K34" s="66"/>
      <c r="L34" s="66"/>
      <c r="M34" s="66"/>
      <c r="N34" s="66"/>
    </row>
    <row r="35" spans="1:14" ht="12.95" customHeight="1" x14ac:dyDescent="0.2">
      <c r="A35" s="65" t="s">
        <v>33</v>
      </c>
      <c r="B35" s="65"/>
      <c r="C35" s="65"/>
      <c r="D35" s="65"/>
      <c r="E35" s="3"/>
      <c r="F35" s="66"/>
      <c r="G35" s="66"/>
      <c r="H35" s="66"/>
      <c r="I35" s="66"/>
      <c r="J35" s="66"/>
      <c r="K35" s="66"/>
      <c r="L35" s="66"/>
      <c r="M35" s="66"/>
      <c r="N35" s="66"/>
    </row>
    <row r="36" spans="1:14" ht="12.95" customHeight="1" x14ac:dyDescent="0.2">
      <c r="A36" s="65" t="s">
        <v>34</v>
      </c>
      <c r="B36" s="65"/>
      <c r="C36" s="65"/>
      <c r="D36" s="65"/>
      <c r="E36" s="3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2.95" customHeight="1" x14ac:dyDescent="0.2">
      <c r="A37" s="65" t="s">
        <v>35</v>
      </c>
      <c r="B37" s="65"/>
      <c r="C37" s="65"/>
      <c r="D37" s="65"/>
      <c r="E37" s="3"/>
      <c r="F37" s="66"/>
      <c r="G37" s="66"/>
      <c r="H37" s="66"/>
      <c r="I37" s="66"/>
      <c r="J37" s="66"/>
      <c r="K37" s="66"/>
      <c r="L37" s="66"/>
      <c r="M37" s="66"/>
      <c r="N37" s="66"/>
    </row>
    <row r="38" spans="1:14" ht="12.95" customHeight="1" x14ac:dyDescent="0.2">
      <c r="A38" s="65" t="s">
        <v>36</v>
      </c>
      <c r="B38" s="65"/>
      <c r="C38" s="65"/>
      <c r="D38" s="65"/>
      <c r="E38" s="3"/>
      <c r="F38" s="66"/>
      <c r="G38" s="66"/>
      <c r="H38" s="66"/>
      <c r="I38" s="66"/>
      <c r="J38" s="66"/>
      <c r="K38" s="66"/>
      <c r="L38" s="66"/>
      <c r="M38" s="66"/>
      <c r="N38" s="66"/>
    </row>
    <row r="39" spans="1:14" ht="12.95" customHeight="1" x14ac:dyDescent="0.2">
      <c r="A39" s="65" t="s">
        <v>37</v>
      </c>
      <c r="B39" s="65"/>
      <c r="C39" s="65"/>
      <c r="D39" s="65"/>
      <c r="E39" s="3"/>
      <c r="F39" s="66"/>
      <c r="G39" s="66"/>
      <c r="H39" s="66"/>
      <c r="I39" s="66"/>
      <c r="J39" s="66"/>
      <c r="K39" s="66"/>
      <c r="L39" s="66"/>
      <c r="M39" s="66"/>
      <c r="N39" s="66"/>
    </row>
    <row r="40" spans="1:14" ht="12.95" customHeight="1" x14ac:dyDescent="0.2">
      <c r="A40" s="65" t="s">
        <v>38</v>
      </c>
      <c r="B40" s="65"/>
      <c r="C40" s="65"/>
      <c r="D40" s="65"/>
      <c r="E40" s="3"/>
      <c r="F40" s="66"/>
      <c r="G40" s="66"/>
      <c r="H40" s="66"/>
      <c r="I40" s="66"/>
      <c r="J40" s="66"/>
      <c r="K40" s="66"/>
      <c r="L40" s="66"/>
      <c r="M40" s="66"/>
      <c r="N40" s="66"/>
    </row>
    <row r="41" spans="1:14" ht="12.95" customHeight="1" x14ac:dyDescent="0.2">
      <c r="A41" s="65" t="s">
        <v>39</v>
      </c>
      <c r="B41" s="65"/>
      <c r="C41" s="65"/>
      <c r="D41" s="65"/>
      <c r="E41" s="3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2.95" customHeight="1" x14ac:dyDescent="0.2">
      <c r="A42" s="65" t="s">
        <v>40</v>
      </c>
      <c r="B42" s="65"/>
      <c r="C42" s="65"/>
      <c r="D42" s="65"/>
      <c r="E42" s="3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2.95" customHeight="1" x14ac:dyDescent="0.2">
      <c r="A43" s="65" t="s">
        <v>41</v>
      </c>
      <c r="B43" s="65"/>
      <c r="C43" s="65"/>
      <c r="D43" s="65"/>
      <c r="E43" s="3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2.95" customHeight="1" x14ac:dyDescent="0.2">
      <c r="A44" s="65" t="s">
        <v>42</v>
      </c>
      <c r="B44" s="65"/>
      <c r="C44" s="65"/>
      <c r="D44" s="65"/>
      <c r="E44" s="3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2.95" customHeight="1" x14ac:dyDescent="0.2">
      <c r="A45" s="65" t="s">
        <v>43</v>
      </c>
      <c r="B45" s="65"/>
      <c r="C45" s="65"/>
      <c r="D45" s="65"/>
      <c r="E45" s="3"/>
      <c r="F45" s="66"/>
      <c r="G45" s="66"/>
      <c r="H45" s="66"/>
      <c r="I45" s="66"/>
      <c r="J45" s="66"/>
      <c r="K45" s="66"/>
      <c r="L45" s="66"/>
      <c r="M45" s="66"/>
      <c r="N45" s="66"/>
    </row>
    <row r="46" spans="1:14" ht="15" customHeight="1" x14ac:dyDescent="0.25">
      <c r="G46" s="2"/>
      <c r="H46" s="4" t="s">
        <v>44</v>
      </c>
      <c r="I46" s="3">
        <f>SUM(M54:M6144)</f>
        <v>0</v>
      </c>
      <c r="J46" s="5"/>
      <c r="K46" s="6"/>
      <c r="L46" s="7"/>
      <c r="M46" s="8"/>
      <c r="N46" s="5"/>
    </row>
    <row r="47" spans="1:14" ht="15" customHeight="1" x14ac:dyDescent="0.25">
      <c r="G47" s="2"/>
      <c r="H47" s="4" t="s">
        <v>45</v>
      </c>
      <c r="I47" s="3">
        <f>SUM(L54:L6144)</f>
        <v>0</v>
      </c>
      <c r="J47" s="5"/>
      <c r="K47" s="6"/>
      <c r="L47" s="7"/>
      <c r="M47" s="8"/>
      <c r="N47" s="5"/>
    </row>
    <row r="48" spans="1:14" ht="18.95" customHeight="1" x14ac:dyDescent="0.25">
      <c r="A48" s="67" t="s">
        <v>46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1:14" ht="12.95" customHeight="1" x14ac:dyDescent="0.2">
      <c r="A49" s="68" t="s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5" customHeight="1" x14ac:dyDescent="0.25">
      <c r="A50" s="69" t="s">
        <v>48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</row>
    <row r="51" spans="1:14" ht="26.1" customHeight="1" x14ac:dyDescent="0.2">
      <c r="A51" s="70" t="s">
        <v>49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t="48" customHeight="1" x14ac:dyDescent="0.2">
      <c r="A52" s="81"/>
      <c r="B52" s="82" t="s">
        <v>3763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4" s="1" customFormat="1" ht="36.75" customHeight="1" x14ac:dyDescent="0.2">
      <c r="A53" s="84" t="s">
        <v>3764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 s="9" customFormat="1" ht="48" customHeight="1" x14ac:dyDescent="0.2">
      <c r="A54" s="10" t="s">
        <v>50</v>
      </c>
      <c r="B54" s="10" t="s">
        <v>51</v>
      </c>
      <c r="C54" s="11" t="s">
        <v>52</v>
      </c>
      <c r="D54" s="12" t="s">
        <v>53</v>
      </c>
      <c r="E54" s="12" t="s">
        <v>54</v>
      </c>
      <c r="F54" s="10" t="s">
        <v>55</v>
      </c>
      <c r="G54" s="13" t="s">
        <v>56</v>
      </c>
      <c r="H54" s="13" t="s">
        <v>57</v>
      </c>
      <c r="I54" s="13" t="s">
        <v>58</v>
      </c>
      <c r="J54" s="13" t="s">
        <v>59</v>
      </c>
      <c r="K54" s="13" t="s">
        <v>60</v>
      </c>
      <c r="L54" s="13" t="s">
        <v>61</v>
      </c>
      <c r="M54" s="13" t="s">
        <v>62</v>
      </c>
      <c r="N54" s="10" t="s">
        <v>63</v>
      </c>
    </row>
    <row r="55" spans="1:14" ht="12" customHeight="1" x14ac:dyDescent="0.2">
      <c r="A55" s="14"/>
      <c r="B55" s="15"/>
      <c r="C55" s="15"/>
      <c r="D55" s="15"/>
      <c r="E55" s="16"/>
      <c r="F55" s="16" t="s">
        <v>64</v>
      </c>
      <c r="G55" s="16"/>
      <c r="H55" s="16"/>
      <c r="I55" s="16"/>
      <c r="J55" s="16"/>
      <c r="K55" s="16"/>
      <c r="L55" s="16"/>
      <c r="M55" s="16"/>
      <c r="N55" s="17"/>
    </row>
    <row r="56" spans="1:14" ht="12" customHeight="1" outlineLevel="1" x14ac:dyDescent="0.2">
      <c r="A56" s="18"/>
      <c r="B56" s="19"/>
      <c r="C56" s="19"/>
      <c r="D56" s="19"/>
      <c r="E56" s="20"/>
      <c r="F56" s="20" t="s">
        <v>65</v>
      </c>
      <c r="G56" s="20"/>
      <c r="H56" s="20"/>
      <c r="I56" s="20"/>
      <c r="J56" s="20"/>
      <c r="K56" s="20"/>
      <c r="L56" s="20"/>
      <c r="M56" s="20"/>
      <c r="N56" s="21"/>
    </row>
    <row r="57" spans="1:14" ht="12" customHeight="1" outlineLevel="2" x14ac:dyDescent="0.2">
      <c r="A57" s="22"/>
      <c r="B57" s="23"/>
      <c r="C57" s="23"/>
      <c r="D57" s="23"/>
      <c r="E57" s="24"/>
      <c r="F57" s="24" t="s">
        <v>66</v>
      </c>
      <c r="G57" s="24"/>
      <c r="H57" s="24"/>
      <c r="I57" s="24"/>
      <c r="J57" s="24"/>
      <c r="K57" s="24"/>
      <c r="L57" s="24"/>
      <c r="M57" s="24"/>
      <c r="N57" s="25"/>
    </row>
    <row r="58" spans="1:14" ht="24" customHeight="1" outlineLevel="3" x14ac:dyDescent="0.2">
      <c r="A58" s="26">
        <v>10038</v>
      </c>
      <c r="B58" s="27"/>
      <c r="C58" s="28"/>
      <c r="D58" s="28"/>
      <c r="E58" s="29"/>
      <c r="F58" s="29" t="s">
        <v>67</v>
      </c>
      <c r="G58" s="29"/>
      <c r="H58" s="29"/>
      <c r="I58" s="29"/>
      <c r="J58" s="30"/>
      <c r="K58" s="31">
        <v>0</v>
      </c>
      <c r="L58" s="32"/>
      <c r="M58" s="32">
        <f>L58*K58</f>
        <v>0</v>
      </c>
      <c r="N58" s="33"/>
    </row>
    <row r="59" spans="1:14" ht="24" customHeight="1" outlineLevel="3" x14ac:dyDescent="0.2">
      <c r="A59" s="34" t="s">
        <v>68</v>
      </c>
      <c r="B59" s="27"/>
      <c r="C59" s="28"/>
      <c r="D59" s="28"/>
      <c r="E59" s="29"/>
      <c r="F59" s="29" t="s">
        <v>69</v>
      </c>
      <c r="G59" s="29"/>
      <c r="H59" s="29"/>
      <c r="I59" s="29"/>
      <c r="J59" s="30"/>
      <c r="K59" s="31">
        <v>0</v>
      </c>
      <c r="L59" s="32"/>
      <c r="M59" s="32">
        <f>L59*K59</f>
        <v>0</v>
      </c>
      <c r="N59" s="35">
        <v>4690368043052</v>
      </c>
    </row>
    <row r="60" spans="1:14" ht="12" customHeight="1" outlineLevel="3" x14ac:dyDescent="0.2">
      <c r="A60" s="34" t="s">
        <v>70</v>
      </c>
      <c r="B60" s="27"/>
      <c r="C60" s="28"/>
      <c r="D60" s="28"/>
      <c r="E60" s="29"/>
      <c r="F60" s="29" t="s">
        <v>71</v>
      </c>
      <c r="G60" s="29"/>
      <c r="H60" s="29"/>
      <c r="I60" s="29"/>
      <c r="J60" s="30"/>
      <c r="K60" s="31">
        <v>0</v>
      </c>
      <c r="L60" s="32"/>
      <c r="M60" s="32">
        <f>L60*K60</f>
        <v>0</v>
      </c>
      <c r="N60" s="33"/>
    </row>
    <row r="61" spans="1:14" ht="12" customHeight="1" outlineLevel="3" x14ac:dyDescent="0.2">
      <c r="A61" s="34" t="s">
        <v>72</v>
      </c>
      <c r="B61" s="27"/>
      <c r="C61" s="28"/>
      <c r="D61" s="28"/>
      <c r="E61" s="29"/>
      <c r="F61" s="29" t="s">
        <v>73</v>
      </c>
      <c r="G61" s="29"/>
      <c r="H61" s="29"/>
      <c r="I61" s="29"/>
      <c r="J61" s="30"/>
      <c r="K61" s="31">
        <v>0</v>
      </c>
      <c r="L61" s="32"/>
      <c r="M61" s="32">
        <f>L61*K61</f>
        <v>0</v>
      </c>
      <c r="N61" s="35">
        <v>4690368044066</v>
      </c>
    </row>
    <row r="62" spans="1:14" ht="12" customHeight="1" outlineLevel="3" x14ac:dyDescent="0.2">
      <c r="A62" s="34" t="s">
        <v>74</v>
      </c>
      <c r="B62" s="27"/>
      <c r="C62" s="28"/>
      <c r="D62" s="28"/>
      <c r="E62" s="29"/>
      <c r="F62" s="29" t="s">
        <v>75</v>
      </c>
      <c r="G62" s="29"/>
      <c r="H62" s="29"/>
      <c r="I62" s="29"/>
      <c r="J62" s="30"/>
      <c r="K62" s="31">
        <v>0</v>
      </c>
      <c r="L62" s="32"/>
      <c r="M62" s="32">
        <f>L62*K62</f>
        <v>0</v>
      </c>
      <c r="N62" s="35">
        <v>2000121626484</v>
      </c>
    </row>
    <row r="63" spans="1:14" ht="12" customHeight="1" outlineLevel="3" x14ac:dyDescent="0.2">
      <c r="A63" s="34" t="s">
        <v>76</v>
      </c>
      <c r="B63" s="27"/>
      <c r="C63" s="28"/>
      <c r="D63" s="28"/>
      <c r="E63" s="29"/>
      <c r="F63" s="29" t="s">
        <v>77</v>
      </c>
      <c r="G63" s="29"/>
      <c r="H63" s="29"/>
      <c r="I63" s="29"/>
      <c r="J63" s="30"/>
      <c r="K63" s="31">
        <v>0</v>
      </c>
      <c r="L63" s="32"/>
      <c r="M63" s="32">
        <f>L63*K63</f>
        <v>0</v>
      </c>
      <c r="N63" s="35">
        <v>2000121626491</v>
      </c>
    </row>
    <row r="64" spans="1:14" ht="12" customHeight="1" outlineLevel="3" x14ac:dyDescent="0.2">
      <c r="A64" s="34" t="s">
        <v>78</v>
      </c>
      <c r="B64" s="27"/>
      <c r="C64" s="28"/>
      <c r="D64" s="28"/>
      <c r="E64" s="29"/>
      <c r="F64" s="29" t="s">
        <v>79</v>
      </c>
      <c r="G64" s="29"/>
      <c r="H64" s="29"/>
      <c r="I64" s="29"/>
      <c r="J64" s="30"/>
      <c r="K64" s="31">
        <v>0</v>
      </c>
      <c r="L64" s="32"/>
      <c r="M64" s="32">
        <f>L64*K64</f>
        <v>0</v>
      </c>
      <c r="N64" s="35">
        <v>2000121626507</v>
      </c>
    </row>
    <row r="65" spans="1:14" ht="12" customHeight="1" outlineLevel="3" x14ac:dyDescent="0.2">
      <c r="A65" s="34" t="s">
        <v>80</v>
      </c>
      <c r="B65" s="27"/>
      <c r="C65" s="28"/>
      <c r="D65" s="28"/>
      <c r="E65" s="29"/>
      <c r="F65" s="29" t="s">
        <v>81</v>
      </c>
      <c r="G65" s="29"/>
      <c r="H65" s="29"/>
      <c r="I65" s="29"/>
      <c r="J65" s="30"/>
      <c r="K65" s="31">
        <v>0</v>
      </c>
      <c r="L65" s="32"/>
      <c r="M65" s="32">
        <f>L65*K65</f>
        <v>0</v>
      </c>
      <c r="N65" s="35">
        <v>2000121626514</v>
      </c>
    </row>
    <row r="66" spans="1:14" ht="12" customHeight="1" outlineLevel="3" x14ac:dyDescent="0.2">
      <c r="A66" s="34" t="s">
        <v>82</v>
      </c>
      <c r="B66" s="27"/>
      <c r="C66" s="28"/>
      <c r="D66" s="28"/>
      <c r="E66" s="29"/>
      <c r="F66" s="29" t="s">
        <v>83</v>
      </c>
      <c r="G66" s="29"/>
      <c r="H66" s="29"/>
      <c r="I66" s="29"/>
      <c r="J66" s="30"/>
      <c r="K66" s="31">
        <v>0</v>
      </c>
      <c r="L66" s="32"/>
      <c r="M66" s="32">
        <f>L66*K66</f>
        <v>0</v>
      </c>
      <c r="N66" s="35">
        <v>2000121626521</v>
      </c>
    </row>
    <row r="67" spans="1:14" ht="12" customHeight="1" outlineLevel="3" x14ac:dyDescent="0.2">
      <c r="A67" s="34" t="s">
        <v>84</v>
      </c>
      <c r="B67" s="27"/>
      <c r="C67" s="28"/>
      <c r="D67" s="28"/>
      <c r="E67" s="29"/>
      <c r="F67" s="29" t="s">
        <v>85</v>
      </c>
      <c r="G67" s="29"/>
      <c r="H67" s="29"/>
      <c r="I67" s="29"/>
      <c r="J67" s="30"/>
      <c r="K67" s="31">
        <v>0</v>
      </c>
      <c r="L67" s="32"/>
      <c r="M67" s="32">
        <f>L67*K67</f>
        <v>0</v>
      </c>
      <c r="N67" s="35">
        <v>2000121626538</v>
      </c>
    </row>
    <row r="68" spans="1:14" ht="12" customHeight="1" outlineLevel="3" x14ac:dyDescent="0.2">
      <c r="A68" s="34" t="s">
        <v>86</v>
      </c>
      <c r="B68" s="27"/>
      <c r="C68" s="28"/>
      <c r="D68" s="28"/>
      <c r="E68" s="29"/>
      <c r="F68" s="29" t="s">
        <v>87</v>
      </c>
      <c r="G68" s="29"/>
      <c r="H68" s="29"/>
      <c r="I68" s="29"/>
      <c r="J68" s="30"/>
      <c r="K68" s="31">
        <v>0</v>
      </c>
      <c r="L68" s="32"/>
      <c r="M68" s="32">
        <f>L68*K68</f>
        <v>0</v>
      </c>
      <c r="N68" s="35">
        <v>2000121626545</v>
      </c>
    </row>
    <row r="69" spans="1:14" ht="12" customHeight="1" outlineLevel="3" x14ac:dyDescent="0.2">
      <c r="A69" s="34" t="s">
        <v>88</v>
      </c>
      <c r="B69" s="27"/>
      <c r="C69" s="28"/>
      <c r="D69" s="28"/>
      <c r="E69" s="29"/>
      <c r="F69" s="29" t="s">
        <v>89</v>
      </c>
      <c r="G69" s="29"/>
      <c r="H69" s="29"/>
      <c r="I69" s="29"/>
      <c r="J69" s="30"/>
      <c r="K69" s="31">
        <v>0</v>
      </c>
      <c r="L69" s="32"/>
      <c r="M69" s="32">
        <f>L69*K69</f>
        <v>0</v>
      </c>
      <c r="N69" s="35">
        <v>2000121626552</v>
      </c>
    </row>
    <row r="70" spans="1:14" ht="12" customHeight="1" outlineLevel="3" x14ac:dyDescent="0.2">
      <c r="A70" s="34" t="s">
        <v>90</v>
      </c>
      <c r="B70" s="27"/>
      <c r="C70" s="28"/>
      <c r="D70" s="28"/>
      <c r="E70" s="29"/>
      <c r="F70" s="29" t="s">
        <v>91</v>
      </c>
      <c r="G70" s="29"/>
      <c r="H70" s="29"/>
      <c r="I70" s="29"/>
      <c r="J70" s="30"/>
      <c r="K70" s="31">
        <v>0</v>
      </c>
      <c r="L70" s="32"/>
      <c r="M70" s="32">
        <f>L70*K70</f>
        <v>0</v>
      </c>
      <c r="N70" s="35">
        <v>2000121626569</v>
      </c>
    </row>
    <row r="71" spans="1:14" ht="12" customHeight="1" outlineLevel="3" x14ac:dyDescent="0.2">
      <c r="A71" s="34" t="s">
        <v>92</v>
      </c>
      <c r="B71" s="27"/>
      <c r="C71" s="28"/>
      <c r="D71" s="28"/>
      <c r="E71" s="29"/>
      <c r="F71" s="29" t="s">
        <v>93</v>
      </c>
      <c r="G71" s="29"/>
      <c r="H71" s="29"/>
      <c r="I71" s="29"/>
      <c r="J71" s="30"/>
      <c r="K71" s="31">
        <v>0</v>
      </c>
      <c r="L71" s="32"/>
      <c r="M71" s="32">
        <f>L71*K71</f>
        <v>0</v>
      </c>
      <c r="N71" s="35">
        <v>2000121626576</v>
      </c>
    </row>
    <row r="72" spans="1:14" ht="24" customHeight="1" outlineLevel="3" x14ac:dyDescent="0.2">
      <c r="A72" s="34" t="s">
        <v>94</v>
      </c>
      <c r="B72" s="27"/>
      <c r="C72" s="28"/>
      <c r="D72" s="28"/>
      <c r="E72" s="29"/>
      <c r="F72" s="29" t="s">
        <v>95</v>
      </c>
      <c r="G72" s="29"/>
      <c r="H72" s="29"/>
      <c r="I72" s="29"/>
      <c r="J72" s="30"/>
      <c r="K72" s="31">
        <v>0</v>
      </c>
      <c r="L72" s="32"/>
      <c r="M72" s="32">
        <f>L72*K72</f>
        <v>0</v>
      </c>
      <c r="N72" s="35">
        <v>2000121626583</v>
      </c>
    </row>
    <row r="73" spans="1:14" ht="12" customHeight="1" outlineLevel="3" x14ac:dyDescent="0.2">
      <c r="A73" s="34" t="s">
        <v>96</v>
      </c>
      <c r="B73" s="27"/>
      <c r="C73" s="28"/>
      <c r="D73" s="28"/>
      <c r="E73" s="29"/>
      <c r="F73" s="29" t="s">
        <v>97</v>
      </c>
      <c r="G73" s="29"/>
      <c r="H73" s="29"/>
      <c r="I73" s="29"/>
      <c r="J73" s="30"/>
      <c r="K73" s="31">
        <v>0</v>
      </c>
      <c r="L73" s="32"/>
      <c r="M73" s="32">
        <f>L73*K73</f>
        <v>0</v>
      </c>
      <c r="N73" s="35">
        <v>2000121626590</v>
      </c>
    </row>
    <row r="74" spans="1:14" ht="12" customHeight="1" outlineLevel="2" x14ac:dyDescent="0.2">
      <c r="A74" s="22"/>
      <c r="B74" s="23"/>
      <c r="C74" s="23"/>
      <c r="D74" s="23"/>
      <c r="E74" s="24"/>
      <c r="F74" s="24" t="s">
        <v>98</v>
      </c>
      <c r="G74" s="24"/>
      <c r="H74" s="24"/>
      <c r="I74" s="24"/>
      <c r="J74" s="24"/>
      <c r="K74" s="24"/>
      <c r="L74" s="24"/>
      <c r="M74" s="24"/>
      <c r="N74" s="25"/>
    </row>
    <row r="75" spans="1:14" ht="48" customHeight="1" outlineLevel="3" x14ac:dyDescent="0.2">
      <c r="A75" s="36" t="s">
        <v>99</v>
      </c>
      <c r="B75" s="37" t="str">
        <f>HYPERLINK("http://www.sedek.ru/upload/iblock/058/arbuz_shuga_beybi_du.jpg","фото")</f>
        <v>фото</v>
      </c>
      <c r="C75" s="38"/>
      <c r="D75" s="38"/>
      <c r="E75" s="39"/>
      <c r="F75" s="39" t="s">
        <v>100</v>
      </c>
      <c r="G75" s="40">
        <v>1</v>
      </c>
      <c r="H75" s="39" t="s">
        <v>101</v>
      </c>
      <c r="I75" s="39" t="s">
        <v>102</v>
      </c>
      <c r="J75" s="41">
        <v>2000</v>
      </c>
      <c r="K75" s="42">
        <v>15</v>
      </c>
      <c r="L75" s="43"/>
      <c r="M75" s="43">
        <f>L75*K75</f>
        <v>0</v>
      </c>
      <c r="N75" s="35">
        <v>4690368038003</v>
      </c>
    </row>
    <row r="76" spans="1:14" ht="24" customHeight="1" outlineLevel="3" x14ac:dyDescent="0.2">
      <c r="A76" s="36" t="s">
        <v>103</v>
      </c>
      <c r="B76" s="37" t="str">
        <f>HYPERLINK("http://www.sedek.ru/upload/iblock/a05/baklazhan_almaz.jpg","фото")</f>
        <v>фото</v>
      </c>
      <c r="C76" s="38"/>
      <c r="D76" s="38"/>
      <c r="E76" s="39"/>
      <c r="F76" s="39" t="s">
        <v>104</v>
      </c>
      <c r="G76" s="44">
        <v>0.3</v>
      </c>
      <c r="H76" s="39" t="s">
        <v>101</v>
      </c>
      <c r="I76" s="39" t="s">
        <v>102</v>
      </c>
      <c r="J76" s="41">
        <v>4000</v>
      </c>
      <c r="K76" s="42">
        <v>15</v>
      </c>
      <c r="L76" s="43"/>
      <c r="M76" s="43">
        <f>L76*K76</f>
        <v>0</v>
      </c>
      <c r="N76" s="35">
        <v>4690368032940</v>
      </c>
    </row>
    <row r="77" spans="1:14" ht="24" customHeight="1" outlineLevel="3" x14ac:dyDescent="0.2">
      <c r="A77" s="36" t="s">
        <v>105</v>
      </c>
      <c r="B77" s="37" t="str">
        <f>HYPERLINK("http://www.sedek.ru/upload/iblock/f46/baklazhan_byche_serdtse_f1.jpg","фото")</f>
        <v>фото</v>
      </c>
      <c r="C77" s="38"/>
      <c r="D77" s="38"/>
      <c r="E77" s="39"/>
      <c r="F77" s="39" t="s">
        <v>106</v>
      </c>
      <c r="G77" s="44">
        <v>0.2</v>
      </c>
      <c r="H77" s="39" t="s">
        <v>101</v>
      </c>
      <c r="I77" s="39" t="s">
        <v>102</v>
      </c>
      <c r="J77" s="41">
        <v>5000</v>
      </c>
      <c r="K77" s="42">
        <v>15</v>
      </c>
      <c r="L77" s="43"/>
      <c r="M77" s="43">
        <f>L77*K77</f>
        <v>0</v>
      </c>
      <c r="N77" s="35">
        <v>4690368032957</v>
      </c>
    </row>
    <row r="78" spans="1:14" ht="24" customHeight="1" outlineLevel="3" x14ac:dyDescent="0.2">
      <c r="A78" s="36" t="s">
        <v>107</v>
      </c>
      <c r="B78" s="37" t="str">
        <f>HYPERLINK("http://www.sedek.ru/upload/iblock/3bd/baklazhan_dlinnyy_fioletovyy.JPG","фото")</f>
        <v>фото</v>
      </c>
      <c r="C78" s="38"/>
      <c r="D78" s="38"/>
      <c r="E78" s="39"/>
      <c r="F78" s="39" t="s">
        <v>108</v>
      </c>
      <c r="G78" s="44">
        <v>0.3</v>
      </c>
      <c r="H78" s="39"/>
      <c r="I78" s="39" t="s">
        <v>102</v>
      </c>
      <c r="J78" s="41">
        <v>4000</v>
      </c>
      <c r="K78" s="42">
        <v>15</v>
      </c>
      <c r="L78" s="43"/>
      <c r="M78" s="43">
        <f>L78*K78</f>
        <v>0</v>
      </c>
      <c r="N78" s="35">
        <v>4690368038034</v>
      </c>
    </row>
    <row r="79" spans="1:14" ht="24" customHeight="1" outlineLevel="3" x14ac:dyDescent="0.2">
      <c r="A79" s="36" t="s">
        <v>109</v>
      </c>
      <c r="B79" s="37" t="str">
        <f>HYPERLINK("http://www.sedek.ru/upload/iblock/897/gorokh_aleksandra_du.jpg","фото")</f>
        <v>фото</v>
      </c>
      <c r="C79" s="38"/>
      <c r="D79" s="38"/>
      <c r="E79" s="39"/>
      <c r="F79" s="39" t="s">
        <v>110</v>
      </c>
      <c r="G79" s="40">
        <v>5</v>
      </c>
      <c r="H79" s="39" t="s">
        <v>101</v>
      </c>
      <c r="I79" s="39" t="s">
        <v>102</v>
      </c>
      <c r="J79" s="40">
        <v>600</v>
      </c>
      <c r="K79" s="42">
        <v>15</v>
      </c>
      <c r="L79" s="43"/>
      <c r="M79" s="43">
        <f>L79*K79</f>
        <v>0</v>
      </c>
      <c r="N79" s="35">
        <v>4690368038041</v>
      </c>
    </row>
    <row r="80" spans="1:14" ht="24" customHeight="1" outlineLevel="3" x14ac:dyDescent="0.2">
      <c r="A80" s="36" t="s">
        <v>111</v>
      </c>
      <c r="B80" s="37" t="str">
        <f>HYPERLINK("http://www.sedek.ru/upload/iblock/c7d/5une2u7rmthxxqhd0sj01tzx57rtfamq/gorokh_pioner.jpg","фото")</f>
        <v>фото</v>
      </c>
      <c r="C80" s="38"/>
      <c r="D80" s="38"/>
      <c r="E80" s="39"/>
      <c r="F80" s="39" t="s">
        <v>112</v>
      </c>
      <c r="G80" s="40">
        <v>6</v>
      </c>
      <c r="H80" s="39"/>
      <c r="I80" s="39" t="s">
        <v>102</v>
      </c>
      <c r="J80" s="40">
        <v>600</v>
      </c>
      <c r="K80" s="42">
        <v>15</v>
      </c>
      <c r="L80" s="43"/>
      <c r="M80" s="43">
        <f>L80*K80</f>
        <v>0</v>
      </c>
      <c r="N80" s="35">
        <v>4690368038072</v>
      </c>
    </row>
    <row r="81" spans="1:14" ht="24" customHeight="1" outlineLevel="3" x14ac:dyDescent="0.2">
      <c r="A81" s="36" t="s">
        <v>113</v>
      </c>
      <c r="B81" s="37" t="str">
        <f>HYPERLINK("http://www.sedek.ru/upload/iblock/c20/daykon_minovasi.jpg","фото")</f>
        <v>фото</v>
      </c>
      <c r="C81" s="38"/>
      <c r="D81" s="38"/>
      <c r="E81" s="39"/>
      <c r="F81" s="39" t="s">
        <v>114</v>
      </c>
      <c r="G81" s="40">
        <v>1</v>
      </c>
      <c r="H81" s="39"/>
      <c r="I81" s="39" t="s">
        <v>102</v>
      </c>
      <c r="J81" s="41">
        <v>2000</v>
      </c>
      <c r="K81" s="42">
        <v>15</v>
      </c>
      <c r="L81" s="43"/>
      <c r="M81" s="43">
        <f>L81*K81</f>
        <v>0</v>
      </c>
      <c r="N81" s="35">
        <v>4690368038089</v>
      </c>
    </row>
    <row r="82" spans="1:14" ht="24" customHeight="1" outlineLevel="3" x14ac:dyDescent="0.2">
      <c r="A82" s="36" t="s">
        <v>115</v>
      </c>
      <c r="B82" s="37" t="str">
        <f>HYPERLINK("http://www.sedek.ru/upload/iblock/a3e/kabachok_beloplodnye.jpg","фото")</f>
        <v>фото</v>
      </c>
      <c r="C82" s="38"/>
      <c r="D82" s="38"/>
      <c r="E82" s="39"/>
      <c r="F82" s="39" t="s">
        <v>116</v>
      </c>
      <c r="G82" s="40">
        <v>2</v>
      </c>
      <c r="H82" s="39"/>
      <c r="I82" s="39" t="s">
        <v>102</v>
      </c>
      <c r="J82" s="41">
        <v>2000</v>
      </c>
      <c r="K82" s="42">
        <v>15</v>
      </c>
      <c r="L82" s="43"/>
      <c r="M82" s="43">
        <f>L82*K82</f>
        <v>0</v>
      </c>
      <c r="N82" s="35">
        <v>4690368038096</v>
      </c>
    </row>
    <row r="83" spans="1:14" ht="24" customHeight="1" outlineLevel="3" x14ac:dyDescent="0.2">
      <c r="A83" s="36" t="s">
        <v>117</v>
      </c>
      <c r="B83" s="37" t="str">
        <f>HYPERLINK("http://sedek.ru/upload/iblock/6b8/kabachok_chernyy_krasavets.jpg","фото")</f>
        <v>фото</v>
      </c>
      <c r="C83" s="38"/>
      <c r="D83" s="38"/>
      <c r="E83" s="39"/>
      <c r="F83" s="39" t="s">
        <v>118</v>
      </c>
      <c r="G83" s="40">
        <v>2</v>
      </c>
      <c r="H83" s="39"/>
      <c r="I83" s="39" t="s">
        <v>102</v>
      </c>
      <c r="J83" s="41">
        <v>2000</v>
      </c>
      <c r="K83" s="42">
        <v>15</v>
      </c>
      <c r="L83" s="43"/>
      <c r="M83" s="43">
        <f>L83*K83</f>
        <v>0</v>
      </c>
      <c r="N83" s="35">
        <v>4690368038102</v>
      </c>
    </row>
    <row r="84" spans="1:14" ht="24" customHeight="1" outlineLevel="3" x14ac:dyDescent="0.2">
      <c r="A84" s="36" t="s">
        <v>119</v>
      </c>
      <c r="B84" s="37" t="str">
        <f>HYPERLINK("http://www.sedek.ru/upload/iblock/44e/kapusta_vyuga.jpg","фото")</f>
        <v>фото</v>
      </c>
      <c r="C84" s="38"/>
      <c r="D84" s="38"/>
      <c r="E84" s="39"/>
      <c r="F84" s="39" t="s">
        <v>120</v>
      </c>
      <c r="G84" s="44">
        <v>0.3</v>
      </c>
      <c r="H84" s="39" t="s">
        <v>101</v>
      </c>
      <c r="I84" s="39" t="s">
        <v>102</v>
      </c>
      <c r="J84" s="41">
        <v>2000</v>
      </c>
      <c r="K84" s="42">
        <v>15</v>
      </c>
      <c r="L84" s="43"/>
      <c r="M84" s="43">
        <f>L84*K84</f>
        <v>0</v>
      </c>
      <c r="N84" s="35">
        <v>4690368034012</v>
      </c>
    </row>
    <row r="85" spans="1:14" ht="24" customHeight="1" outlineLevel="3" x14ac:dyDescent="0.2">
      <c r="A85" s="36" t="s">
        <v>121</v>
      </c>
      <c r="B85" s="37" t="str">
        <f>HYPERLINK("http://www.sedek.ru/upload/iblock/8ae/kapusta_gnom.jpg","фото")</f>
        <v>фото</v>
      </c>
      <c r="C85" s="38"/>
      <c r="D85" s="38"/>
      <c r="E85" s="39"/>
      <c r="F85" s="39" t="s">
        <v>122</v>
      </c>
      <c r="G85" s="44">
        <v>0.3</v>
      </c>
      <c r="H85" s="39" t="s">
        <v>101</v>
      </c>
      <c r="I85" s="39" t="s">
        <v>102</v>
      </c>
      <c r="J85" s="41">
        <v>2000</v>
      </c>
      <c r="K85" s="42">
        <v>15</v>
      </c>
      <c r="L85" s="43"/>
      <c r="M85" s="43">
        <f>L85*K85</f>
        <v>0</v>
      </c>
      <c r="N85" s="35">
        <v>4690368032995</v>
      </c>
    </row>
    <row r="86" spans="1:14" ht="24" customHeight="1" outlineLevel="3" x14ac:dyDescent="0.2">
      <c r="A86" s="36" t="s">
        <v>123</v>
      </c>
      <c r="B86" s="37" t="str">
        <f>HYPERLINK("http://www.sedek.ru/upload/iblock/225/kapusta_slava_1305.jpg","фото")</f>
        <v>фото</v>
      </c>
      <c r="C86" s="38"/>
      <c r="D86" s="38"/>
      <c r="E86" s="39"/>
      <c r="F86" s="39" t="s">
        <v>124</v>
      </c>
      <c r="G86" s="44">
        <v>0.5</v>
      </c>
      <c r="H86" s="39" t="s">
        <v>101</v>
      </c>
      <c r="I86" s="39" t="s">
        <v>102</v>
      </c>
      <c r="J86" s="41">
        <v>2000</v>
      </c>
      <c r="K86" s="42">
        <v>15</v>
      </c>
      <c r="L86" s="43"/>
      <c r="M86" s="43">
        <f>L86*K86</f>
        <v>0</v>
      </c>
      <c r="N86" s="35">
        <v>4690368034029</v>
      </c>
    </row>
    <row r="87" spans="1:14" ht="24" customHeight="1" outlineLevel="3" x14ac:dyDescent="0.2">
      <c r="A87" s="36" t="s">
        <v>125</v>
      </c>
      <c r="B87" s="37" t="str">
        <f>HYPERLINK("http://www.sedek.ru/upload/iblock/3d5/kapusta_snouboll_123.jpg","фото")</f>
        <v>фото</v>
      </c>
      <c r="C87" s="38"/>
      <c r="D87" s="38"/>
      <c r="E87" s="39"/>
      <c r="F87" s="39" t="s">
        <v>126</v>
      </c>
      <c r="G87" s="44">
        <v>0.3</v>
      </c>
      <c r="H87" s="39" t="s">
        <v>101</v>
      </c>
      <c r="I87" s="39" t="s">
        <v>102</v>
      </c>
      <c r="J87" s="41">
        <v>2000</v>
      </c>
      <c r="K87" s="42">
        <v>15</v>
      </c>
      <c r="L87" s="43"/>
      <c r="M87" s="43">
        <f>L87*K87</f>
        <v>0</v>
      </c>
      <c r="N87" s="35">
        <v>4690368033046</v>
      </c>
    </row>
    <row r="88" spans="1:14" ht="36" customHeight="1" outlineLevel="3" x14ac:dyDescent="0.2">
      <c r="A88" s="36" t="s">
        <v>127</v>
      </c>
      <c r="B88" s="37" t="str">
        <f>HYPERLINK("http://sedek.ru//upload/iblock/576/mm6z2mx3rfb5u8ymoczlsgbonffjy7ys/kinza_koriandr_kinza_dza.jpg","фото")</f>
        <v>фото</v>
      </c>
      <c r="C88" s="38"/>
      <c r="D88" s="38"/>
      <c r="E88" s="39"/>
      <c r="F88" s="39" t="s">
        <v>128</v>
      </c>
      <c r="G88" s="40">
        <v>2</v>
      </c>
      <c r="H88" s="39"/>
      <c r="I88" s="39" t="s">
        <v>102</v>
      </c>
      <c r="J88" s="41">
        <v>1000</v>
      </c>
      <c r="K88" s="42">
        <v>15</v>
      </c>
      <c r="L88" s="43"/>
      <c r="M88" s="43">
        <f>L88*K88</f>
        <v>0</v>
      </c>
      <c r="N88" s="35">
        <v>4690368038355</v>
      </c>
    </row>
    <row r="89" spans="1:14" ht="36" customHeight="1" outlineLevel="3" x14ac:dyDescent="0.2">
      <c r="A89" s="36" t="s">
        <v>129</v>
      </c>
      <c r="B89" s="37" t="str">
        <f>HYPERLINK("http://sedek.ru/upload/iblock/51f/kinza_koriandr_korol_rynka.jpg","фото")</f>
        <v>фото</v>
      </c>
      <c r="C89" s="38"/>
      <c r="D89" s="38"/>
      <c r="E89" s="39"/>
      <c r="F89" s="39" t="s">
        <v>130</v>
      </c>
      <c r="G89" s="40">
        <v>2</v>
      </c>
      <c r="H89" s="39"/>
      <c r="I89" s="39" t="s">
        <v>102</v>
      </c>
      <c r="J89" s="41">
        <v>1000</v>
      </c>
      <c r="K89" s="42">
        <v>15</v>
      </c>
      <c r="L89" s="43"/>
      <c r="M89" s="43">
        <f>L89*K89</f>
        <v>0</v>
      </c>
      <c r="N89" s="35">
        <v>4690368038348</v>
      </c>
    </row>
    <row r="90" spans="1:14" ht="36" customHeight="1" outlineLevel="3" x14ac:dyDescent="0.2">
      <c r="A90" s="36" t="s">
        <v>131</v>
      </c>
      <c r="B90" s="37" t="str">
        <f>HYPERLINK("http://www.sedek.ru/upload/iblock/7f7/luk_vostorg.jpg","фото")</f>
        <v>фото</v>
      </c>
      <c r="C90" s="38"/>
      <c r="D90" s="38"/>
      <c r="E90" s="39"/>
      <c r="F90" s="39" t="s">
        <v>132</v>
      </c>
      <c r="G90" s="40">
        <v>1</v>
      </c>
      <c r="H90" s="39" t="s">
        <v>101</v>
      </c>
      <c r="I90" s="39" t="s">
        <v>102</v>
      </c>
      <c r="J90" s="41">
        <v>2000</v>
      </c>
      <c r="K90" s="42">
        <v>15</v>
      </c>
      <c r="L90" s="43"/>
      <c r="M90" s="43">
        <f>L90*K90</f>
        <v>0</v>
      </c>
      <c r="N90" s="35">
        <v>4690368033077</v>
      </c>
    </row>
    <row r="91" spans="1:14" ht="24" customHeight="1" outlineLevel="3" x14ac:dyDescent="0.2">
      <c r="A91" s="36" t="s">
        <v>133</v>
      </c>
      <c r="B91" s="37" t="str">
        <f>HYPERLINK("http://www.sedek.ru/upload/iblock/007/luk_repchatyy_senator.jpg","фото")</f>
        <v>фото</v>
      </c>
      <c r="C91" s="38"/>
      <c r="D91" s="38"/>
      <c r="E91" s="39"/>
      <c r="F91" s="39" t="s">
        <v>134</v>
      </c>
      <c r="G91" s="40">
        <v>1</v>
      </c>
      <c r="H91" s="39"/>
      <c r="I91" s="39" t="s">
        <v>102</v>
      </c>
      <c r="J91" s="41">
        <v>2000</v>
      </c>
      <c r="K91" s="42">
        <v>15</v>
      </c>
      <c r="L91" s="43"/>
      <c r="M91" s="43">
        <f>L91*K91</f>
        <v>0</v>
      </c>
      <c r="N91" s="35">
        <v>4690368038133</v>
      </c>
    </row>
    <row r="92" spans="1:14" ht="24" customHeight="1" outlineLevel="3" x14ac:dyDescent="0.2">
      <c r="A92" s="36" t="s">
        <v>135</v>
      </c>
      <c r="B92" s="37" t="str">
        <f>HYPERLINK("http://www.sedek.ru/upload/iblock/958/luk_elefant.jpg","фото")</f>
        <v>фото</v>
      </c>
      <c r="C92" s="38"/>
      <c r="D92" s="38"/>
      <c r="E92" s="39"/>
      <c r="F92" s="39" t="s">
        <v>136</v>
      </c>
      <c r="G92" s="40">
        <v>1</v>
      </c>
      <c r="H92" s="39" t="s">
        <v>101</v>
      </c>
      <c r="I92" s="39" t="s">
        <v>102</v>
      </c>
      <c r="J92" s="41">
        <v>2000</v>
      </c>
      <c r="K92" s="42">
        <v>15</v>
      </c>
      <c r="L92" s="43"/>
      <c r="M92" s="43">
        <f>L92*K92</f>
        <v>0</v>
      </c>
      <c r="N92" s="35">
        <v>4690368033091</v>
      </c>
    </row>
    <row r="93" spans="1:14" ht="24" customHeight="1" outlineLevel="3" x14ac:dyDescent="0.2">
      <c r="A93" s="36" t="s">
        <v>137</v>
      </c>
      <c r="B93" s="37" t="str">
        <f>HYPERLINK("http://sedek.ru/upload/iblock/040/morkov_vnuchka.jpg","фото")</f>
        <v>фото</v>
      </c>
      <c r="C93" s="38"/>
      <c r="D93" s="38"/>
      <c r="E93" s="39"/>
      <c r="F93" s="39" t="s">
        <v>138</v>
      </c>
      <c r="G93" s="40">
        <v>2</v>
      </c>
      <c r="H93" s="39"/>
      <c r="I93" s="39" t="s">
        <v>102</v>
      </c>
      <c r="J93" s="41">
        <v>2000</v>
      </c>
      <c r="K93" s="42">
        <v>15</v>
      </c>
      <c r="L93" s="43"/>
      <c r="M93" s="43">
        <f>L93*K93</f>
        <v>0</v>
      </c>
      <c r="N93" s="35">
        <v>4690368038164</v>
      </c>
    </row>
    <row r="94" spans="1:14" ht="36" customHeight="1" outlineLevel="3" x14ac:dyDescent="0.2">
      <c r="A94" s="36" t="s">
        <v>139</v>
      </c>
      <c r="B94" s="37" t="str">
        <f>HYPERLINK("http://sedek.ru/upload/iblock/416/v9q2x53x1ijuea6htdmut11nhofrzfx4/morkov_kitayskaya_krasavitsa.jpg","фото")</f>
        <v>фото</v>
      </c>
      <c r="C94" s="38"/>
      <c r="D94" s="38"/>
      <c r="E94" s="39"/>
      <c r="F94" s="39" t="s">
        <v>140</v>
      </c>
      <c r="G94" s="40">
        <v>2</v>
      </c>
      <c r="H94" s="39"/>
      <c r="I94" s="39" t="s">
        <v>102</v>
      </c>
      <c r="J94" s="41">
        <v>2000</v>
      </c>
      <c r="K94" s="42">
        <v>15</v>
      </c>
      <c r="L94" s="43"/>
      <c r="M94" s="43">
        <f>L94*K94</f>
        <v>0</v>
      </c>
      <c r="N94" s="35">
        <v>4690368038171</v>
      </c>
    </row>
    <row r="95" spans="1:14" ht="36" customHeight="1" outlineLevel="3" x14ac:dyDescent="0.2">
      <c r="A95" s="36" t="s">
        <v>141</v>
      </c>
      <c r="B95" s="37" t="str">
        <f>HYPERLINK("http://www.sedek.ru/upload/iblock/0d9/morkov_koroleva_oseni.jpg","фото")</f>
        <v>фото</v>
      </c>
      <c r="C95" s="38"/>
      <c r="D95" s="38"/>
      <c r="E95" s="39"/>
      <c r="F95" s="39" t="s">
        <v>142</v>
      </c>
      <c r="G95" s="40">
        <v>2</v>
      </c>
      <c r="H95" s="39" t="s">
        <v>101</v>
      </c>
      <c r="I95" s="39" t="s">
        <v>102</v>
      </c>
      <c r="J95" s="41">
        <v>2000</v>
      </c>
      <c r="K95" s="42">
        <v>15</v>
      </c>
      <c r="L95" s="43"/>
      <c r="M95" s="43">
        <f>L95*K95</f>
        <v>0</v>
      </c>
      <c r="N95" s="35">
        <v>4690368033121</v>
      </c>
    </row>
    <row r="96" spans="1:14" ht="24" customHeight="1" outlineLevel="3" x14ac:dyDescent="0.2">
      <c r="A96" s="36" t="s">
        <v>143</v>
      </c>
      <c r="B96" s="37" t="str">
        <f>HYPERLINK("http://www.sedek.ru/upload/iblock/0c4/morkov_losinoostrovskaya_13.jpg","фото")</f>
        <v>фото</v>
      </c>
      <c r="C96" s="38"/>
      <c r="D96" s="38"/>
      <c r="E96" s="39"/>
      <c r="F96" s="39" t="s">
        <v>144</v>
      </c>
      <c r="G96" s="40">
        <v>2</v>
      </c>
      <c r="H96" s="39" t="s">
        <v>101</v>
      </c>
      <c r="I96" s="39" t="s">
        <v>102</v>
      </c>
      <c r="J96" s="41">
        <v>2000</v>
      </c>
      <c r="K96" s="42">
        <v>15</v>
      </c>
      <c r="L96" s="43"/>
      <c r="M96" s="43">
        <f>L96*K96</f>
        <v>0</v>
      </c>
      <c r="N96" s="35">
        <v>4690368034050</v>
      </c>
    </row>
    <row r="97" spans="1:14" ht="36" customHeight="1" outlineLevel="3" x14ac:dyDescent="0.2">
      <c r="A97" s="36" t="s">
        <v>145</v>
      </c>
      <c r="B97" s="37" t="str">
        <f>HYPERLINK("http://www.sedek.ru/upload/iblock/f70/morkov_nantskaya_4.jpg","фото")</f>
        <v>фото</v>
      </c>
      <c r="C97" s="38"/>
      <c r="D97" s="38"/>
      <c r="E97" s="39"/>
      <c r="F97" s="39" t="s">
        <v>146</v>
      </c>
      <c r="G97" s="40">
        <v>2</v>
      </c>
      <c r="H97" s="39" t="s">
        <v>101</v>
      </c>
      <c r="I97" s="39" t="s">
        <v>102</v>
      </c>
      <c r="J97" s="41">
        <v>2000</v>
      </c>
      <c r="K97" s="42">
        <v>15</v>
      </c>
      <c r="L97" s="43"/>
      <c r="M97" s="43">
        <f>L97*K97</f>
        <v>0</v>
      </c>
      <c r="N97" s="35">
        <v>4690368033138</v>
      </c>
    </row>
    <row r="98" spans="1:14" ht="24" customHeight="1" outlineLevel="3" x14ac:dyDescent="0.2">
      <c r="A98" s="36" t="s">
        <v>147</v>
      </c>
      <c r="B98" s="37" t="str">
        <f>HYPERLINK("http://www.sedek.ru/upload/iblock/2b7/morkov_shantane_5.jpg","фото")</f>
        <v>фото</v>
      </c>
      <c r="C98" s="38"/>
      <c r="D98" s="38"/>
      <c r="E98" s="39"/>
      <c r="F98" s="39" t="s">
        <v>148</v>
      </c>
      <c r="G98" s="40">
        <v>1</v>
      </c>
      <c r="H98" s="39" t="s">
        <v>101</v>
      </c>
      <c r="I98" s="39" t="s">
        <v>102</v>
      </c>
      <c r="J98" s="41">
        <v>2000</v>
      </c>
      <c r="K98" s="42">
        <v>15</v>
      </c>
      <c r="L98" s="43"/>
      <c r="M98" s="43">
        <f>L98*K98</f>
        <v>0</v>
      </c>
      <c r="N98" s="35">
        <v>4690368034043</v>
      </c>
    </row>
    <row r="99" spans="1:14" ht="36" customHeight="1" outlineLevel="3" x14ac:dyDescent="0.2">
      <c r="A99" s="36" t="s">
        <v>149</v>
      </c>
      <c r="B99" s="37" t="str">
        <f>HYPERLINK("http://www.sedek.ru/upload/iblock/ce9/ogurets_zasolochnyy.jpg","фото")</f>
        <v>фото</v>
      </c>
      <c r="C99" s="38"/>
      <c r="D99" s="38"/>
      <c r="E99" s="39"/>
      <c r="F99" s="39" t="s">
        <v>150</v>
      </c>
      <c r="G99" s="44">
        <v>0.5</v>
      </c>
      <c r="H99" s="39" t="s">
        <v>101</v>
      </c>
      <c r="I99" s="39" t="s">
        <v>102</v>
      </c>
      <c r="J99" s="41">
        <v>3000</v>
      </c>
      <c r="K99" s="42">
        <v>15</v>
      </c>
      <c r="L99" s="43"/>
      <c r="M99" s="43">
        <f>L99*K99</f>
        <v>0</v>
      </c>
      <c r="N99" s="35">
        <v>4690368033169</v>
      </c>
    </row>
    <row r="100" spans="1:14" ht="36" customHeight="1" outlineLevel="3" x14ac:dyDescent="0.2">
      <c r="A100" s="36" t="s">
        <v>151</v>
      </c>
      <c r="B100" s="37" t="str">
        <f>HYPERLINK("http://www.sedek.ru/upload/iblock/beb/ogurets_konkurent.jpg","фото")</f>
        <v>фото</v>
      </c>
      <c r="C100" s="38"/>
      <c r="D100" s="38"/>
      <c r="E100" s="39"/>
      <c r="F100" s="39" t="s">
        <v>152</v>
      </c>
      <c r="G100" s="44">
        <v>0.5</v>
      </c>
      <c r="H100" s="39" t="s">
        <v>101</v>
      </c>
      <c r="I100" s="39" t="s">
        <v>102</v>
      </c>
      <c r="J100" s="41">
        <v>3000</v>
      </c>
      <c r="K100" s="42">
        <v>15</v>
      </c>
      <c r="L100" s="43"/>
      <c r="M100" s="43">
        <f>L100*K100</f>
        <v>0</v>
      </c>
      <c r="N100" s="35">
        <v>4690368033176</v>
      </c>
    </row>
    <row r="101" spans="1:14" ht="24" customHeight="1" outlineLevel="3" x14ac:dyDescent="0.2">
      <c r="A101" s="36" t="s">
        <v>153</v>
      </c>
      <c r="B101" s="37" t="str">
        <f>HYPERLINK("http://www.sedek.ru/upload/iblock/a71/hdys0kdjrfg0zb083eprugzctmm77mlh/ogurets_malysh.jpg","фото")</f>
        <v>фото</v>
      </c>
      <c r="C101" s="38"/>
      <c r="D101" s="38"/>
      <c r="E101" s="39"/>
      <c r="F101" s="39" t="s">
        <v>154</v>
      </c>
      <c r="G101" s="44">
        <v>0.3</v>
      </c>
      <c r="H101" s="39"/>
      <c r="I101" s="39" t="s">
        <v>102</v>
      </c>
      <c r="J101" s="41">
        <v>3000</v>
      </c>
      <c r="K101" s="42">
        <v>15</v>
      </c>
      <c r="L101" s="43"/>
      <c r="M101" s="43">
        <f>L101*K101</f>
        <v>0</v>
      </c>
      <c r="N101" s="35">
        <v>4690368038225</v>
      </c>
    </row>
    <row r="102" spans="1:14" ht="36" customHeight="1" outlineLevel="3" x14ac:dyDescent="0.2">
      <c r="A102" s="36" t="s">
        <v>155</v>
      </c>
      <c r="B102" s="37" t="str">
        <f>HYPERLINK("http://www.sedek.ru/upload/iblock/058/ogurets_nadezhnyy_du.jpg","фото")</f>
        <v>фото</v>
      </c>
      <c r="C102" s="38"/>
      <c r="D102" s="38"/>
      <c r="E102" s="39"/>
      <c r="F102" s="39" t="s">
        <v>156</v>
      </c>
      <c r="G102" s="44">
        <v>0.5</v>
      </c>
      <c r="H102" s="39" t="s">
        <v>101</v>
      </c>
      <c r="I102" s="39" t="s">
        <v>102</v>
      </c>
      <c r="J102" s="41">
        <v>3000</v>
      </c>
      <c r="K102" s="42">
        <v>15</v>
      </c>
      <c r="L102" s="43"/>
      <c r="M102" s="43">
        <f>L102*K102</f>
        <v>0</v>
      </c>
      <c r="N102" s="35">
        <v>4690368038232</v>
      </c>
    </row>
    <row r="103" spans="1:14" ht="36" customHeight="1" outlineLevel="3" x14ac:dyDescent="0.2">
      <c r="A103" s="36" t="s">
        <v>157</v>
      </c>
      <c r="B103" s="37" t="str">
        <f>HYPERLINK("https://www.sedek.ru/upload/iblock/c64/4eej00qt9dr3wssyoc508r2c36brnlas/ogurets_patriarkh_f1.jpg","фото")</f>
        <v>фото</v>
      </c>
      <c r="C103" s="38"/>
      <c r="D103" s="38"/>
      <c r="E103" s="39"/>
      <c r="F103" s="39" t="s">
        <v>158</v>
      </c>
      <c r="G103" s="44">
        <v>0.2</v>
      </c>
      <c r="H103" s="39"/>
      <c r="I103" s="39" t="s">
        <v>102</v>
      </c>
      <c r="J103" s="41">
        <v>3000</v>
      </c>
      <c r="K103" s="42">
        <v>15</v>
      </c>
      <c r="L103" s="43"/>
      <c r="M103" s="43">
        <f>L103*K103</f>
        <v>0</v>
      </c>
      <c r="N103" s="35">
        <v>4690368038249</v>
      </c>
    </row>
    <row r="104" spans="1:14" ht="36" customHeight="1" outlineLevel="3" x14ac:dyDescent="0.2">
      <c r="A104" s="36" t="s">
        <v>159</v>
      </c>
      <c r="B104" s="37" t="str">
        <f>HYPERLINK("https://www.sedek.ru/upload/iblock/825/u5dhaszng06l43w4556ebiy6kr1c3425/ogurets_kornishon_prestol_f1.jpg","фото")</f>
        <v>фото</v>
      </c>
      <c r="C104" s="38"/>
      <c r="D104" s="38"/>
      <c r="E104" s="39"/>
      <c r="F104" s="39" t="s">
        <v>160</v>
      </c>
      <c r="G104" s="44">
        <v>0.2</v>
      </c>
      <c r="H104" s="39"/>
      <c r="I104" s="39" t="s">
        <v>102</v>
      </c>
      <c r="J104" s="41">
        <v>3000</v>
      </c>
      <c r="K104" s="42">
        <v>15</v>
      </c>
      <c r="L104" s="43"/>
      <c r="M104" s="43">
        <f>L104*K104</f>
        <v>0</v>
      </c>
      <c r="N104" s="35">
        <v>4690368038256</v>
      </c>
    </row>
    <row r="105" spans="1:14" ht="36" customHeight="1" outlineLevel="3" x14ac:dyDescent="0.2">
      <c r="A105" s="36" t="s">
        <v>161</v>
      </c>
      <c r="B105" s="37" t="str">
        <f>HYPERLINK("http://www.sedek.ru/upload/iblock/f4b/patisson_zontik.jpg","фото")</f>
        <v>фото</v>
      </c>
      <c r="C105" s="38"/>
      <c r="D105" s="38"/>
      <c r="E105" s="39"/>
      <c r="F105" s="39" t="s">
        <v>162</v>
      </c>
      <c r="G105" s="40">
        <v>1</v>
      </c>
      <c r="H105" s="39" t="s">
        <v>101</v>
      </c>
      <c r="I105" s="39" t="s">
        <v>102</v>
      </c>
      <c r="J105" s="41">
        <v>2000</v>
      </c>
      <c r="K105" s="42">
        <v>15</v>
      </c>
      <c r="L105" s="43"/>
      <c r="M105" s="43">
        <f>L105*K105</f>
        <v>0</v>
      </c>
      <c r="N105" s="35">
        <v>4690368033190</v>
      </c>
    </row>
    <row r="106" spans="1:14" ht="36" customHeight="1" outlineLevel="3" x14ac:dyDescent="0.2">
      <c r="A106" s="36" t="s">
        <v>163</v>
      </c>
      <c r="B106" s="37" t="str">
        <f>HYPERLINK("http://www.sedek.ru/upload/iblock/0b5/perets_vityaz.jpg","фото")</f>
        <v>фото</v>
      </c>
      <c r="C106" s="38"/>
      <c r="D106" s="38"/>
      <c r="E106" s="39"/>
      <c r="F106" s="39" t="s">
        <v>164</v>
      </c>
      <c r="G106" s="44">
        <v>0.2</v>
      </c>
      <c r="H106" s="39" t="s">
        <v>101</v>
      </c>
      <c r="I106" s="39" t="s">
        <v>102</v>
      </c>
      <c r="J106" s="41">
        <v>3000</v>
      </c>
      <c r="K106" s="42">
        <v>15</v>
      </c>
      <c r="L106" s="43"/>
      <c r="M106" s="43">
        <f>L106*K106</f>
        <v>0</v>
      </c>
      <c r="N106" s="35">
        <v>4690368033206</v>
      </c>
    </row>
    <row r="107" spans="1:14" ht="36" customHeight="1" outlineLevel="3" x14ac:dyDescent="0.2">
      <c r="A107" s="36" t="s">
        <v>165</v>
      </c>
      <c r="B107" s="37" t="str">
        <f>HYPERLINK("http://www.sedek.ru/upload/iblock/52c/perets_kaliforniyskoe_chudo.jpg","фото")</f>
        <v>фото</v>
      </c>
      <c r="C107" s="38"/>
      <c r="D107" s="38"/>
      <c r="E107" s="39"/>
      <c r="F107" s="39" t="s">
        <v>166</v>
      </c>
      <c r="G107" s="44">
        <v>0.2</v>
      </c>
      <c r="H107" s="39" t="s">
        <v>101</v>
      </c>
      <c r="I107" s="39" t="s">
        <v>102</v>
      </c>
      <c r="J107" s="41">
        <v>4000</v>
      </c>
      <c r="K107" s="42">
        <v>15</v>
      </c>
      <c r="L107" s="43"/>
      <c r="M107" s="43">
        <f>L107*K107</f>
        <v>0</v>
      </c>
      <c r="N107" s="35">
        <v>4690368034104</v>
      </c>
    </row>
    <row r="108" spans="1:14" ht="36" customHeight="1" outlineLevel="3" x14ac:dyDescent="0.2">
      <c r="A108" s="36" t="s">
        <v>167</v>
      </c>
      <c r="B108" s="37" t="str">
        <f>HYPERLINK("http://www.sedek.ru/upload/iblock/4b3/perets_podarok_moldovy.jpg","фото")</f>
        <v>фото</v>
      </c>
      <c r="C108" s="38"/>
      <c r="D108" s="38"/>
      <c r="E108" s="39"/>
      <c r="F108" s="39" t="s">
        <v>168</v>
      </c>
      <c r="G108" s="44">
        <v>0.2</v>
      </c>
      <c r="H108" s="39" t="s">
        <v>101</v>
      </c>
      <c r="I108" s="39" t="s">
        <v>102</v>
      </c>
      <c r="J108" s="41">
        <v>4000</v>
      </c>
      <c r="K108" s="42">
        <v>15</v>
      </c>
      <c r="L108" s="43"/>
      <c r="M108" s="43">
        <f>L108*K108</f>
        <v>0</v>
      </c>
      <c r="N108" s="35">
        <v>4690368034098</v>
      </c>
    </row>
    <row r="109" spans="1:14" ht="36" customHeight="1" outlineLevel="3" x14ac:dyDescent="0.2">
      <c r="A109" s="36" t="s">
        <v>169</v>
      </c>
      <c r="B109" s="37" t="str">
        <f>HYPERLINK("http://www.sedek.ru/upload/iblock/e03/petrushka_sakharnaya.jpg","фото")</f>
        <v>фото</v>
      </c>
      <c r="C109" s="38"/>
      <c r="D109" s="38"/>
      <c r="E109" s="39"/>
      <c r="F109" s="39" t="s">
        <v>170</v>
      </c>
      <c r="G109" s="40">
        <v>2</v>
      </c>
      <c r="H109" s="39" t="s">
        <v>101</v>
      </c>
      <c r="I109" s="39" t="s">
        <v>102</v>
      </c>
      <c r="J109" s="41">
        <v>2000</v>
      </c>
      <c r="K109" s="42">
        <v>15</v>
      </c>
      <c r="L109" s="43"/>
      <c r="M109" s="43">
        <f>L109*K109</f>
        <v>0</v>
      </c>
      <c r="N109" s="35">
        <v>4690368034128</v>
      </c>
    </row>
    <row r="110" spans="1:14" ht="36" customHeight="1" outlineLevel="3" x14ac:dyDescent="0.2">
      <c r="A110" s="36" t="s">
        <v>171</v>
      </c>
      <c r="B110" s="37" t="str">
        <f>HYPERLINK("http://www.sedek.ru/upload/iblock/6d3/iy9vwud9ztya720ko3qz328f9sk6h4st/gorchitsa_listovaya_volnushka.jpg","фото")</f>
        <v>фото</v>
      </c>
      <c r="C110" s="38"/>
      <c r="D110" s="38"/>
      <c r="E110" s="39"/>
      <c r="F110" s="39" t="s">
        <v>172</v>
      </c>
      <c r="G110" s="40">
        <v>1</v>
      </c>
      <c r="H110" s="39"/>
      <c r="I110" s="39" t="s">
        <v>102</v>
      </c>
      <c r="J110" s="41">
        <v>2000</v>
      </c>
      <c r="K110" s="42">
        <v>15</v>
      </c>
      <c r="L110" s="43"/>
      <c r="M110" s="43">
        <f>L110*K110</f>
        <v>0</v>
      </c>
      <c r="N110" s="35">
        <v>4690368038270</v>
      </c>
    </row>
    <row r="111" spans="1:14" ht="36" customHeight="1" outlineLevel="3" x14ac:dyDescent="0.2">
      <c r="A111" s="36" t="s">
        <v>173</v>
      </c>
      <c r="B111" s="37" t="str">
        <f>HYPERLINK("http://www.sedek.ru/upload/iblock/66c/redis_anzhelika.jpg","фото")</f>
        <v>фото</v>
      </c>
      <c r="C111" s="38"/>
      <c r="D111" s="38"/>
      <c r="E111" s="39"/>
      <c r="F111" s="39" t="s">
        <v>174</v>
      </c>
      <c r="G111" s="40">
        <v>2</v>
      </c>
      <c r="H111" s="39" t="s">
        <v>101</v>
      </c>
      <c r="I111" s="39" t="s">
        <v>102</v>
      </c>
      <c r="J111" s="41">
        <v>1500</v>
      </c>
      <c r="K111" s="42">
        <v>15</v>
      </c>
      <c r="L111" s="43"/>
      <c r="M111" s="43">
        <f>L111*K111</f>
        <v>0</v>
      </c>
      <c r="N111" s="35">
        <v>4690368033268</v>
      </c>
    </row>
    <row r="112" spans="1:14" ht="36" customHeight="1" outlineLevel="3" x14ac:dyDescent="0.2">
      <c r="A112" s="36" t="s">
        <v>175</v>
      </c>
      <c r="B112" s="37" t="str">
        <f>HYPERLINK("http://www.sedek.ru/upload/iblock/6f8/redis_zhara.jpg","фото")</f>
        <v>фото</v>
      </c>
      <c r="C112" s="38"/>
      <c r="D112" s="38"/>
      <c r="E112" s="39"/>
      <c r="F112" s="39" t="s">
        <v>176</v>
      </c>
      <c r="G112" s="40">
        <v>3</v>
      </c>
      <c r="H112" s="39" t="s">
        <v>101</v>
      </c>
      <c r="I112" s="39" t="s">
        <v>102</v>
      </c>
      <c r="J112" s="41">
        <v>1500</v>
      </c>
      <c r="K112" s="42">
        <v>15</v>
      </c>
      <c r="L112" s="43"/>
      <c r="M112" s="43">
        <f>L112*K112</f>
        <v>0</v>
      </c>
      <c r="N112" s="35">
        <v>4690368034142</v>
      </c>
    </row>
    <row r="113" spans="1:14" ht="36" customHeight="1" outlineLevel="3" x14ac:dyDescent="0.2">
      <c r="A113" s="36" t="s">
        <v>177</v>
      </c>
      <c r="B113" s="37" t="str">
        <f>HYPERLINK("http://www.sedek.ru/upload/iblock/0a6/redis_zarya.jpg","фото")</f>
        <v>фото</v>
      </c>
      <c r="C113" s="38"/>
      <c r="D113" s="38"/>
      <c r="E113" s="39"/>
      <c r="F113" s="39" t="s">
        <v>178</v>
      </c>
      <c r="G113" s="40">
        <v>3</v>
      </c>
      <c r="H113" s="39" t="s">
        <v>101</v>
      </c>
      <c r="I113" s="39" t="s">
        <v>102</v>
      </c>
      <c r="J113" s="41">
        <v>1500</v>
      </c>
      <c r="K113" s="42">
        <v>15</v>
      </c>
      <c r="L113" s="43"/>
      <c r="M113" s="43">
        <f>L113*K113</f>
        <v>0</v>
      </c>
      <c r="N113" s="35">
        <v>4690368034159</v>
      </c>
    </row>
    <row r="114" spans="1:14" ht="36" customHeight="1" outlineLevel="3" x14ac:dyDescent="0.2">
      <c r="A114" s="36" t="s">
        <v>179</v>
      </c>
      <c r="B114" s="37" t="str">
        <f>HYPERLINK("http://www.sedek.ru/upload/iblock/e56/redis_krasa.jpg","фото")</f>
        <v>фото</v>
      </c>
      <c r="C114" s="38"/>
      <c r="D114" s="38"/>
      <c r="E114" s="39"/>
      <c r="F114" s="39" t="s">
        <v>180</v>
      </c>
      <c r="G114" s="40">
        <v>2</v>
      </c>
      <c r="H114" s="39" t="s">
        <v>101</v>
      </c>
      <c r="I114" s="39" t="s">
        <v>102</v>
      </c>
      <c r="J114" s="41">
        <v>1500</v>
      </c>
      <c r="K114" s="42">
        <v>15</v>
      </c>
      <c r="L114" s="43"/>
      <c r="M114" s="43">
        <f>L114*K114</f>
        <v>0</v>
      </c>
      <c r="N114" s="35">
        <v>4690368033275</v>
      </c>
    </row>
    <row r="115" spans="1:14" ht="24" customHeight="1" outlineLevel="3" x14ac:dyDescent="0.2">
      <c r="A115" s="36" t="s">
        <v>181</v>
      </c>
      <c r="B115" s="37" t="str">
        <f>HYPERLINK("http://www.sedek.ru//upload/iblock/d53/redis_krasnyy_s_belym_konchikom.jpg","фото")</f>
        <v>фото</v>
      </c>
      <c r="C115" s="38"/>
      <c r="D115" s="38"/>
      <c r="E115" s="39"/>
      <c r="F115" s="39" t="s">
        <v>182</v>
      </c>
      <c r="G115" s="40">
        <v>3</v>
      </c>
      <c r="H115" s="39" t="s">
        <v>101</v>
      </c>
      <c r="I115" s="39" t="s">
        <v>102</v>
      </c>
      <c r="J115" s="41">
        <v>1500</v>
      </c>
      <c r="K115" s="42">
        <v>15</v>
      </c>
      <c r="L115" s="43"/>
      <c r="M115" s="43">
        <f>L115*K115</f>
        <v>0</v>
      </c>
      <c r="N115" s="35">
        <v>4690368034166</v>
      </c>
    </row>
    <row r="116" spans="1:14" ht="36" customHeight="1" outlineLevel="3" x14ac:dyDescent="0.2">
      <c r="A116" s="36" t="s">
        <v>183</v>
      </c>
      <c r="B116" s="37" t="str">
        <f>HYPERLINK("http://www.sedek.ru/upload/iblock/9b7/repa_petrovskaya_1.jpg","фото")</f>
        <v>фото</v>
      </c>
      <c r="C116" s="38"/>
      <c r="D116" s="38"/>
      <c r="E116" s="39"/>
      <c r="F116" s="39" t="s">
        <v>184</v>
      </c>
      <c r="G116" s="40">
        <v>1</v>
      </c>
      <c r="H116" s="39" t="s">
        <v>101</v>
      </c>
      <c r="I116" s="39" t="s">
        <v>102</v>
      </c>
      <c r="J116" s="41">
        <v>1500</v>
      </c>
      <c r="K116" s="42">
        <v>15</v>
      </c>
      <c r="L116" s="43"/>
      <c r="M116" s="43">
        <f>L116*K116</f>
        <v>0</v>
      </c>
      <c r="N116" s="35">
        <v>4690368034173</v>
      </c>
    </row>
    <row r="117" spans="1:14" ht="36" customHeight="1" outlineLevel="3" x14ac:dyDescent="0.2">
      <c r="A117" s="36" t="s">
        <v>185</v>
      </c>
      <c r="B117" s="37" t="str">
        <f>HYPERLINK("http://www.sedek.ru/upload/iblock/09f/salat_vitaminnyy.jpg","фото")</f>
        <v>фото</v>
      </c>
      <c r="C117" s="38"/>
      <c r="D117" s="38"/>
      <c r="E117" s="39"/>
      <c r="F117" s="39" t="s">
        <v>186</v>
      </c>
      <c r="G117" s="44">
        <v>0.5</v>
      </c>
      <c r="H117" s="39" t="s">
        <v>101</v>
      </c>
      <c r="I117" s="39" t="s">
        <v>102</v>
      </c>
      <c r="J117" s="41">
        <v>3000</v>
      </c>
      <c r="K117" s="42">
        <v>15</v>
      </c>
      <c r="L117" s="43"/>
      <c r="M117" s="43">
        <f>L117*K117</f>
        <v>0</v>
      </c>
      <c r="N117" s="35">
        <v>4690368033299</v>
      </c>
    </row>
    <row r="118" spans="1:14" ht="36" customHeight="1" outlineLevel="3" x14ac:dyDescent="0.2">
      <c r="A118" s="36" t="s">
        <v>187</v>
      </c>
      <c r="B118" s="37" t="str">
        <f>HYPERLINK("http://www.sedek.ru/upload/iblock/04f/salat_izumrudnyy_listovoy_du.jpg","фото")</f>
        <v>фото</v>
      </c>
      <c r="C118" s="38"/>
      <c r="D118" s="38"/>
      <c r="E118" s="39"/>
      <c r="F118" s="39" t="s">
        <v>188</v>
      </c>
      <c r="G118" s="44">
        <v>0.5</v>
      </c>
      <c r="H118" s="39" t="s">
        <v>101</v>
      </c>
      <c r="I118" s="39" t="s">
        <v>102</v>
      </c>
      <c r="J118" s="41">
        <v>3000</v>
      </c>
      <c r="K118" s="42">
        <v>15</v>
      </c>
      <c r="L118" s="43"/>
      <c r="M118" s="43">
        <f>L118*K118</f>
        <v>0</v>
      </c>
      <c r="N118" s="35">
        <v>4690368038300</v>
      </c>
    </row>
    <row r="119" spans="1:14" ht="24" customHeight="1" outlineLevel="3" x14ac:dyDescent="0.2">
      <c r="A119" s="36" t="s">
        <v>189</v>
      </c>
      <c r="B119" s="37" t="str">
        <f>HYPERLINK("http://www.sedek.ru/upload/iblock/deb/svekla_dachnitsa.jpg","фото")</f>
        <v>фото</v>
      </c>
      <c r="C119" s="38"/>
      <c r="D119" s="38"/>
      <c r="E119" s="39"/>
      <c r="F119" s="39" t="s">
        <v>190</v>
      </c>
      <c r="G119" s="40">
        <v>3</v>
      </c>
      <c r="H119" s="39" t="s">
        <v>101</v>
      </c>
      <c r="I119" s="39" t="s">
        <v>102</v>
      </c>
      <c r="J119" s="40">
        <v>800</v>
      </c>
      <c r="K119" s="42">
        <v>15</v>
      </c>
      <c r="L119" s="43"/>
      <c r="M119" s="43">
        <f>L119*K119</f>
        <v>0</v>
      </c>
      <c r="N119" s="35">
        <v>4690368033329</v>
      </c>
    </row>
    <row r="120" spans="1:14" ht="24" customHeight="1" outlineLevel="3" x14ac:dyDescent="0.2">
      <c r="A120" s="36" t="s">
        <v>191</v>
      </c>
      <c r="B120" s="37" t="str">
        <f>HYPERLINK("http://www.sedek.ru/upload/iblock/d43/svekla_detroyt.jpg","фото")</f>
        <v>фото</v>
      </c>
      <c r="C120" s="38"/>
      <c r="D120" s="38"/>
      <c r="E120" s="39"/>
      <c r="F120" s="39" t="s">
        <v>192</v>
      </c>
      <c r="G120" s="40">
        <v>3</v>
      </c>
      <c r="H120" s="39" t="s">
        <v>101</v>
      </c>
      <c r="I120" s="39" t="s">
        <v>102</v>
      </c>
      <c r="J120" s="40">
        <v>800</v>
      </c>
      <c r="K120" s="42">
        <v>15</v>
      </c>
      <c r="L120" s="43"/>
      <c r="M120" s="43">
        <f>L120*K120</f>
        <v>0</v>
      </c>
      <c r="N120" s="35">
        <v>4690368034210</v>
      </c>
    </row>
    <row r="121" spans="1:14" ht="36" customHeight="1" outlineLevel="3" x14ac:dyDescent="0.2">
      <c r="A121" s="36" t="s">
        <v>193</v>
      </c>
      <c r="B121" s="37" t="str">
        <f>HYPERLINK("http://www.sedek.ru/upload/iblock/23f/svekla_egipetskaya_ploskaya.jpg","фото")</f>
        <v>фото</v>
      </c>
      <c r="C121" s="38"/>
      <c r="D121" s="38"/>
      <c r="E121" s="39"/>
      <c r="F121" s="39" t="s">
        <v>194</v>
      </c>
      <c r="G121" s="40">
        <v>3</v>
      </c>
      <c r="H121" s="39" t="s">
        <v>101</v>
      </c>
      <c r="I121" s="39" t="s">
        <v>102</v>
      </c>
      <c r="J121" s="40">
        <v>800</v>
      </c>
      <c r="K121" s="42">
        <v>15</v>
      </c>
      <c r="L121" s="43"/>
      <c r="M121" s="43">
        <f>L121*K121</f>
        <v>0</v>
      </c>
      <c r="N121" s="35">
        <v>4690368034227</v>
      </c>
    </row>
    <row r="122" spans="1:14" ht="36" customHeight="1" outlineLevel="3" x14ac:dyDescent="0.2">
      <c r="A122" s="36" t="s">
        <v>195</v>
      </c>
      <c r="B122" s="37" t="str">
        <f>HYPERLINK("http://www.sedek.ru/upload/iblock/2c4/ukrop_gribovskiy.jpg","фото")</f>
        <v>фото</v>
      </c>
      <c r="C122" s="38"/>
      <c r="D122" s="38"/>
      <c r="E122" s="39"/>
      <c r="F122" s="39" t="s">
        <v>196</v>
      </c>
      <c r="G122" s="40">
        <v>2</v>
      </c>
      <c r="H122" s="39" t="s">
        <v>101</v>
      </c>
      <c r="I122" s="39" t="s">
        <v>102</v>
      </c>
      <c r="J122" s="41">
        <v>2000</v>
      </c>
      <c r="K122" s="42">
        <v>14.1</v>
      </c>
      <c r="L122" s="43"/>
      <c r="M122" s="43">
        <f>L122*K122</f>
        <v>0</v>
      </c>
      <c r="N122" s="35">
        <v>4690368034265</v>
      </c>
    </row>
    <row r="123" spans="1:14" ht="36" customHeight="1" outlineLevel="3" x14ac:dyDescent="0.2">
      <c r="A123" s="36" t="s">
        <v>197</v>
      </c>
      <c r="B123" s="37" t="str">
        <f>HYPERLINK("http://www.sedek.ru/upload/iblock/1d4/ukrop_dushistyy_buket.jpg","фото")</f>
        <v>фото</v>
      </c>
      <c r="C123" s="38"/>
      <c r="D123" s="38"/>
      <c r="E123" s="39"/>
      <c r="F123" s="39" t="s">
        <v>198</v>
      </c>
      <c r="G123" s="40">
        <v>2</v>
      </c>
      <c r="H123" s="39" t="s">
        <v>101</v>
      </c>
      <c r="I123" s="39" t="s">
        <v>102</v>
      </c>
      <c r="J123" s="41">
        <v>2000</v>
      </c>
      <c r="K123" s="42">
        <v>15</v>
      </c>
      <c r="L123" s="43"/>
      <c r="M123" s="43">
        <f>L123*K123</f>
        <v>0</v>
      </c>
      <c r="N123" s="35">
        <v>4690368033404</v>
      </c>
    </row>
    <row r="124" spans="1:14" ht="24" customHeight="1" outlineLevel="3" x14ac:dyDescent="0.2">
      <c r="A124" s="36" t="s">
        <v>199</v>
      </c>
      <c r="B124" s="37" t="str">
        <f>HYPERLINK("http://sedek.ru/upload/iblock/b94/ageratum_golubaya_skazka.jpg","фото")</f>
        <v>фото</v>
      </c>
      <c r="C124" s="38"/>
      <c r="D124" s="38"/>
      <c r="E124" s="39"/>
      <c r="F124" s="39" t="s">
        <v>200</v>
      </c>
      <c r="G124" s="44">
        <v>0.1</v>
      </c>
      <c r="H124" s="39"/>
      <c r="I124" s="39" t="s">
        <v>102</v>
      </c>
      <c r="J124" s="41">
        <v>3500</v>
      </c>
      <c r="K124" s="42">
        <v>15</v>
      </c>
      <c r="L124" s="43"/>
      <c r="M124" s="43">
        <f>L124*K124</f>
        <v>0</v>
      </c>
      <c r="N124" s="35">
        <v>4690368038980</v>
      </c>
    </row>
    <row r="125" spans="1:14" ht="24" customHeight="1" outlineLevel="3" x14ac:dyDescent="0.2">
      <c r="A125" s="36" t="s">
        <v>201</v>
      </c>
      <c r="B125" s="37" t="str">
        <f>HYPERLINK("http://www.sedek.ru/upload/iblock/993/ageratum_zhigolo.jpg","фото")</f>
        <v>фото</v>
      </c>
      <c r="C125" s="38"/>
      <c r="D125" s="38"/>
      <c r="E125" s="39"/>
      <c r="F125" s="39" t="s">
        <v>202</v>
      </c>
      <c r="G125" s="44">
        <v>0.1</v>
      </c>
      <c r="H125" s="39"/>
      <c r="I125" s="39" t="s">
        <v>102</v>
      </c>
      <c r="J125" s="41">
        <v>3500</v>
      </c>
      <c r="K125" s="42">
        <v>15</v>
      </c>
      <c r="L125" s="43"/>
      <c r="M125" s="43">
        <f>L125*K125</f>
        <v>0</v>
      </c>
      <c r="N125" s="35">
        <v>4690368039000</v>
      </c>
    </row>
    <row r="126" spans="1:14" ht="36" customHeight="1" outlineLevel="3" x14ac:dyDescent="0.2">
      <c r="A126" s="36" t="s">
        <v>203</v>
      </c>
      <c r="B126" s="37" t="str">
        <f>HYPERLINK("http://sedek.ru/upload/iblock/75c/amarant_khvostatyy_tanets_ognya.jpg","фото")</f>
        <v>фото</v>
      </c>
      <c r="C126" s="38"/>
      <c r="D126" s="38"/>
      <c r="E126" s="39"/>
      <c r="F126" s="39" t="s">
        <v>204</v>
      </c>
      <c r="G126" s="44">
        <v>0.1</v>
      </c>
      <c r="H126" s="39"/>
      <c r="I126" s="39" t="s">
        <v>102</v>
      </c>
      <c r="J126" s="41">
        <v>4000</v>
      </c>
      <c r="K126" s="42">
        <v>15</v>
      </c>
      <c r="L126" s="43"/>
      <c r="M126" s="43">
        <f>L126*K126</f>
        <v>0</v>
      </c>
      <c r="N126" s="35">
        <v>4690368039017</v>
      </c>
    </row>
    <row r="127" spans="1:14" ht="24" customHeight="1" outlineLevel="3" x14ac:dyDescent="0.2">
      <c r="A127" s="36" t="s">
        <v>205</v>
      </c>
      <c r="B127" s="37" t="str">
        <f>HYPERLINK("http://sedek.ru/upload/iblock/141/astra_avstriyskoe_pero.jpg","фото")</f>
        <v>фото</v>
      </c>
      <c r="C127" s="38"/>
      <c r="D127" s="38"/>
      <c r="E127" s="39"/>
      <c r="F127" s="39" t="s">
        <v>206</v>
      </c>
      <c r="G127" s="44">
        <v>0.2</v>
      </c>
      <c r="H127" s="39"/>
      <c r="I127" s="39" t="s">
        <v>102</v>
      </c>
      <c r="J127" s="41">
        <v>3000</v>
      </c>
      <c r="K127" s="42">
        <v>15</v>
      </c>
      <c r="L127" s="43"/>
      <c r="M127" s="43">
        <f>L127*K127</f>
        <v>0</v>
      </c>
      <c r="N127" s="35">
        <v>4690368039024</v>
      </c>
    </row>
    <row r="128" spans="1:14" ht="24" customHeight="1" outlineLevel="3" x14ac:dyDescent="0.2">
      <c r="A128" s="36" t="s">
        <v>207</v>
      </c>
      <c r="B128" s="37" t="str">
        <f>HYPERLINK("http://sedek.ru/upload/iblock/764/astra_varenka.jpg","фото")</f>
        <v>фото</v>
      </c>
      <c r="C128" s="38"/>
      <c r="D128" s="38"/>
      <c r="E128" s="39"/>
      <c r="F128" s="39" t="s">
        <v>208</v>
      </c>
      <c r="G128" s="44">
        <v>0.2</v>
      </c>
      <c r="H128" s="39"/>
      <c r="I128" s="39" t="s">
        <v>102</v>
      </c>
      <c r="J128" s="41">
        <v>3000</v>
      </c>
      <c r="K128" s="42">
        <v>15</v>
      </c>
      <c r="L128" s="43"/>
      <c r="M128" s="43">
        <f>L128*K128</f>
        <v>0</v>
      </c>
      <c r="N128" s="35">
        <v>4690368038409</v>
      </c>
    </row>
    <row r="129" spans="1:14" ht="24" customHeight="1" outlineLevel="3" x14ac:dyDescent="0.2">
      <c r="A129" s="36" t="s">
        <v>209</v>
      </c>
      <c r="B129" s="37" t="str">
        <f>HYPERLINK("http://sedek.ru/upload/iblock/0a5/astra_kosmicheskiy_dozhd.jpg","фото")</f>
        <v>фото</v>
      </c>
      <c r="C129" s="38"/>
      <c r="D129" s="38"/>
      <c r="E129" s="39"/>
      <c r="F129" s="39" t="s">
        <v>210</v>
      </c>
      <c r="G129" s="44">
        <v>0.2</v>
      </c>
      <c r="H129" s="39"/>
      <c r="I129" s="39" t="s">
        <v>102</v>
      </c>
      <c r="J129" s="41">
        <v>3000</v>
      </c>
      <c r="K129" s="42">
        <v>15</v>
      </c>
      <c r="L129" s="43"/>
      <c r="M129" s="43">
        <f>L129*K129</f>
        <v>0</v>
      </c>
      <c r="N129" s="35">
        <v>4690368039048</v>
      </c>
    </row>
    <row r="130" spans="1:14" ht="24" customHeight="1" outlineLevel="3" x14ac:dyDescent="0.2">
      <c r="A130" s="36" t="s">
        <v>211</v>
      </c>
      <c r="B130" s="37" t="str">
        <f>HYPERLINK("http://sedek.ru/upload/iblock/8b9/astra_lyusya.jpg","фото")</f>
        <v>фото</v>
      </c>
      <c r="C130" s="38"/>
      <c r="D130" s="38"/>
      <c r="E130" s="39"/>
      <c r="F130" s="39" t="s">
        <v>212</v>
      </c>
      <c r="G130" s="44">
        <v>0.2</v>
      </c>
      <c r="H130" s="39"/>
      <c r="I130" s="39" t="s">
        <v>102</v>
      </c>
      <c r="J130" s="41">
        <v>3000</v>
      </c>
      <c r="K130" s="42">
        <v>15</v>
      </c>
      <c r="L130" s="43"/>
      <c r="M130" s="43">
        <f>L130*K130</f>
        <v>0</v>
      </c>
      <c r="N130" s="35">
        <v>4690368039055</v>
      </c>
    </row>
    <row r="131" spans="1:14" ht="24" customHeight="1" outlineLevel="3" x14ac:dyDescent="0.2">
      <c r="A131" s="36" t="s">
        <v>213</v>
      </c>
      <c r="B131" s="37" t="str">
        <f>HYPERLINK("http://sedek.ru/upload/iblock/b23/astra_printsessa.jpg","фото")</f>
        <v>фото</v>
      </c>
      <c r="C131" s="38"/>
      <c r="D131" s="38"/>
      <c r="E131" s="39"/>
      <c r="F131" s="39" t="s">
        <v>214</v>
      </c>
      <c r="G131" s="44">
        <v>0.2</v>
      </c>
      <c r="H131" s="39"/>
      <c r="I131" s="39" t="s">
        <v>102</v>
      </c>
      <c r="J131" s="41">
        <v>3000</v>
      </c>
      <c r="K131" s="42">
        <v>15</v>
      </c>
      <c r="L131" s="43"/>
      <c r="M131" s="43">
        <f>L131*K131</f>
        <v>0</v>
      </c>
      <c r="N131" s="35">
        <v>4690368039079</v>
      </c>
    </row>
    <row r="132" spans="1:14" ht="24" customHeight="1" outlineLevel="3" x14ac:dyDescent="0.2">
      <c r="A132" s="36" t="s">
        <v>215</v>
      </c>
      <c r="B132" s="37" t="str">
        <f>HYPERLINK("http://sedek.ru/upload/iblock/7da/vasilek_kompliment.jpg","фото")</f>
        <v>фото</v>
      </c>
      <c r="C132" s="38"/>
      <c r="D132" s="38"/>
      <c r="E132" s="39"/>
      <c r="F132" s="39" t="s">
        <v>216</v>
      </c>
      <c r="G132" s="44">
        <v>0.2</v>
      </c>
      <c r="H132" s="39" t="s">
        <v>101</v>
      </c>
      <c r="I132" s="39" t="s">
        <v>102</v>
      </c>
      <c r="J132" s="41">
        <v>3000</v>
      </c>
      <c r="K132" s="42">
        <v>15</v>
      </c>
      <c r="L132" s="43"/>
      <c r="M132" s="43">
        <f>L132*K132</f>
        <v>0</v>
      </c>
      <c r="N132" s="35">
        <v>4690368038461</v>
      </c>
    </row>
    <row r="133" spans="1:14" ht="24" customHeight="1" outlineLevel="3" x14ac:dyDescent="0.2">
      <c r="A133" s="36" t="s">
        <v>217</v>
      </c>
      <c r="B133" s="37" t="str">
        <f>HYPERLINK("http://sedek.ru/upload/iblock/68a/gvozdika_pervaya_lyubov_turetskaya_karlikovaya_smes.jpg","фото")</f>
        <v>фото</v>
      </c>
      <c r="C133" s="38"/>
      <c r="D133" s="38"/>
      <c r="E133" s="39"/>
      <c r="F133" s="39" t="s">
        <v>218</v>
      </c>
      <c r="G133" s="44">
        <v>0.1</v>
      </c>
      <c r="H133" s="39"/>
      <c r="I133" s="39" t="s">
        <v>102</v>
      </c>
      <c r="J133" s="41">
        <v>3000</v>
      </c>
      <c r="K133" s="42">
        <v>15</v>
      </c>
      <c r="L133" s="43"/>
      <c r="M133" s="43">
        <f>L133*K133</f>
        <v>0</v>
      </c>
      <c r="N133" s="35">
        <v>4690368039123</v>
      </c>
    </row>
    <row r="134" spans="1:14" ht="24" customHeight="1" outlineLevel="3" x14ac:dyDescent="0.2">
      <c r="A134" s="36" t="s">
        <v>219</v>
      </c>
      <c r="B134" s="37" t="str">
        <f>HYPERLINK("http://sedek.ru/upload/iblock/d19/gelikhrizum_ldinka.jpg","фото")</f>
        <v>фото</v>
      </c>
      <c r="C134" s="38"/>
      <c r="D134" s="38"/>
      <c r="E134" s="39"/>
      <c r="F134" s="39" t="s">
        <v>220</v>
      </c>
      <c r="G134" s="44">
        <v>0.1</v>
      </c>
      <c r="H134" s="39"/>
      <c r="I134" s="39" t="s">
        <v>102</v>
      </c>
      <c r="J134" s="41">
        <v>4000</v>
      </c>
      <c r="K134" s="42">
        <v>15</v>
      </c>
      <c r="L134" s="43"/>
      <c r="M134" s="43">
        <f>L134*K134</f>
        <v>0</v>
      </c>
      <c r="N134" s="35">
        <v>4690368038539</v>
      </c>
    </row>
    <row r="135" spans="1:14" ht="24" customHeight="1" outlineLevel="3" x14ac:dyDescent="0.2">
      <c r="A135" s="36" t="s">
        <v>221</v>
      </c>
      <c r="B135" s="37" t="str">
        <f>HYPERLINK("http://sedek.ru/upload/iblock/6cc/gipsofila_izvayanie.jpg","фото")</f>
        <v>фото</v>
      </c>
      <c r="C135" s="38"/>
      <c r="D135" s="38"/>
      <c r="E135" s="39"/>
      <c r="F135" s="39" t="s">
        <v>222</v>
      </c>
      <c r="G135" s="44">
        <v>0.2</v>
      </c>
      <c r="H135" s="39"/>
      <c r="I135" s="39" t="s">
        <v>102</v>
      </c>
      <c r="J135" s="41">
        <v>3000</v>
      </c>
      <c r="K135" s="42">
        <v>15</v>
      </c>
      <c r="L135" s="43"/>
      <c r="M135" s="43">
        <f>L135*K135</f>
        <v>0</v>
      </c>
      <c r="N135" s="35">
        <v>4690368039161</v>
      </c>
    </row>
    <row r="136" spans="1:14" ht="24" customHeight="1" outlineLevel="3" x14ac:dyDescent="0.2">
      <c r="A136" s="36" t="s">
        <v>223</v>
      </c>
      <c r="B136" s="37" t="str">
        <f>HYPERLINK("http://sedek.ru/upload/iblock/b5d/gipsofila_rozovaya_dymka.jpg","фото")</f>
        <v>фото</v>
      </c>
      <c r="C136" s="38"/>
      <c r="D136" s="38"/>
      <c r="E136" s="39"/>
      <c r="F136" s="39" t="s">
        <v>224</v>
      </c>
      <c r="G136" s="44">
        <v>0.2</v>
      </c>
      <c r="H136" s="39"/>
      <c r="I136" s="39" t="s">
        <v>102</v>
      </c>
      <c r="J136" s="41">
        <v>3000</v>
      </c>
      <c r="K136" s="42">
        <v>15</v>
      </c>
      <c r="L136" s="43"/>
      <c r="M136" s="43">
        <f>L136*K136</f>
        <v>0</v>
      </c>
      <c r="N136" s="35">
        <v>4690368039178</v>
      </c>
    </row>
    <row r="137" spans="1:14" ht="24" customHeight="1" outlineLevel="3" x14ac:dyDescent="0.2">
      <c r="A137" s="36" t="s">
        <v>225</v>
      </c>
      <c r="B137" s="37" t="str">
        <f>HYPERLINK("http://sedek.ru/upload/iblock/2b8/delfinium_monblan.jpg","фото")</f>
        <v>фото</v>
      </c>
      <c r="C137" s="38"/>
      <c r="D137" s="38"/>
      <c r="E137" s="39"/>
      <c r="F137" s="39" t="s">
        <v>226</v>
      </c>
      <c r="G137" s="44">
        <v>0.2</v>
      </c>
      <c r="H137" s="39"/>
      <c r="I137" s="39" t="s">
        <v>102</v>
      </c>
      <c r="J137" s="41">
        <v>3000</v>
      </c>
      <c r="K137" s="42">
        <v>15</v>
      </c>
      <c r="L137" s="43"/>
      <c r="M137" s="43">
        <f>L137*K137</f>
        <v>0</v>
      </c>
      <c r="N137" s="35">
        <v>4690368039192</v>
      </c>
    </row>
    <row r="138" spans="1:14" ht="24" customHeight="1" outlineLevel="3" x14ac:dyDescent="0.2">
      <c r="A138" s="36" t="s">
        <v>227</v>
      </c>
      <c r="B138" s="37" t="str">
        <f>HYPERLINK("http://sedek.ru/upload/iblock/5a1/dushistyy_goroshek_venetsiya.jpg","фото")</f>
        <v>фото</v>
      </c>
      <c r="C138" s="38"/>
      <c r="D138" s="38"/>
      <c r="E138" s="39"/>
      <c r="F138" s="39" t="s">
        <v>228</v>
      </c>
      <c r="G138" s="44">
        <v>0.5</v>
      </c>
      <c r="H138" s="39"/>
      <c r="I138" s="39" t="s">
        <v>102</v>
      </c>
      <c r="J138" s="41">
        <v>1500</v>
      </c>
      <c r="K138" s="42">
        <v>15</v>
      </c>
      <c r="L138" s="43"/>
      <c r="M138" s="43">
        <f>L138*K138</f>
        <v>0</v>
      </c>
      <c r="N138" s="35">
        <v>4690368038553</v>
      </c>
    </row>
    <row r="139" spans="1:14" ht="36" customHeight="1" outlineLevel="3" x14ac:dyDescent="0.2">
      <c r="A139" s="36" t="s">
        <v>229</v>
      </c>
      <c r="B139" s="37" t="str">
        <f>HYPERLINK("http://sedek.ru/upload/iblock/1c3/klarkiya_sputnitsa_smes.jpg","фото")</f>
        <v>фото</v>
      </c>
      <c r="C139" s="38"/>
      <c r="D139" s="38"/>
      <c r="E139" s="39"/>
      <c r="F139" s="39" t="s">
        <v>230</v>
      </c>
      <c r="G139" s="44">
        <v>0.2</v>
      </c>
      <c r="H139" s="39"/>
      <c r="I139" s="39" t="s">
        <v>102</v>
      </c>
      <c r="J139" s="41">
        <v>4000</v>
      </c>
      <c r="K139" s="42">
        <v>15</v>
      </c>
      <c r="L139" s="43"/>
      <c r="M139" s="43">
        <f>L139*K139</f>
        <v>0</v>
      </c>
      <c r="N139" s="35">
        <v>4690368039260</v>
      </c>
    </row>
    <row r="140" spans="1:14" ht="24" customHeight="1" outlineLevel="3" x14ac:dyDescent="0.2">
      <c r="A140" s="36" t="s">
        <v>231</v>
      </c>
      <c r="B140" s="37" t="str">
        <f>HYPERLINK("http://sedek.ru/upload/iblock/7a5/kosmeya_mechta_smes.jpg","фото")</f>
        <v>фото</v>
      </c>
      <c r="C140" s="38"/>
      <c r="D140" s="38"/>
      <c r="E140" s="39"/>
      <c r="F140" s="39" t="s">
        <v>232</v>
      </c>
      <c r="G140" s="44">
        <v>0.5</v>
      </c>
      <c r="H140" s="39"/>
      <c r="I140" s="39" t="s">
        <v>102</v>
      </c>
      <c r="J140" s="41">
        <v>3000</v>
      </c>
      <c r="K140" s="42">
        <v>15</v>
      </c>
      <c r="L140" s="43"/>
      <c r="M140" s="43">
        <f>L140*K140</f>
        <v>0</v>
      </c>
      <c r="N140" s="35">
        <v>4690368038607</v>
      </c>
    </row>
    <row r="141" spans="1:14" ht="24" customHeight="1" outlineLevel="3" x14ac:dyDescent="0.2">
      <c r="A141" s="36" t="s">
        <v>233</v>
      </c>
      <c r="B141" s="37" t="str">
        <f>HYPERLINK("http://sedek.ru/upload/iblock/463/lavatera_nevesta.jpg","фото")</f>
        <v>фото</v>
      </c>
      <c r="C141" s="38"/>
      <c r="D141" s="38"/>
      <c r="E141" s="39"/>
      <c r="F141" s="39" t="s">
        <v>234</v>
      </c>
      <c r="G141" s="44">
        <v>0.2</v>
      </c>
      <c r="H141" s="39"/>
      <c r="I141" s="39" t="s">
        <v>102</v>
      </c>
      <c r="J141" s="41">
        <v>3000</v>
      </c>
      <c r="K141" s="42">
        <v>15</v>
      </c>
      <c r="L141" s="43"/>
      <c r="M141" s="43">
        <f>L141*K141</f>
        <v>0</v>
      </c>
      <c r="N141" s="35">
        <v>4690368039307</v>
      </c>
    </row>
    <row r="142" spans="1:14" ht="24" customHeight="1" outlineLevel="3" x14ac:dyDescent="0.2">
      <c r="A142" s="36" t="s">
        <v>235</v>
      </c>
      <c r="B142" s="37" t="str">
        <f>HYPERLINK("http://sedek.ru/upload/iblock/1ba/lyen_lazurnaya_gavan.jpg","фото")</f>
        <v>фото</v>
      </c>
      <c r="C142" s="38"/>
      <c r="D142" s="38"/>
      <c r="E142" s="39"/>
      <c r="F142" s="39" t="s">
        <v>236</v>
      </c>
      <c r="G142" s="44">
        <v>0.2</v>
      </c>
      <c r="H142" s="39"/>
      <c r="I142" s="39" t="s">
        <v>102</v>
      </c>
      <c r="J142" s="41">
        <v>4000</v>
      </c>
      <c r="K142" s="42">
        <v>15</v>
      </c>
      <c r="L142" s="43"/>
      <c r="M142" s="43">
        <f>L142*K142</f>
        <v>0</v>
      </c>
      <c r="N142" s="35">
        <v>4690368038614</v>
      </c>
    </row>
    <row r="143" spans="1:14" ht="24" customHeight="1" outlineLevel="3" x14ac:dyDescent="0.2">
      <c r="A143" s="36" t="s">
        <v>237</v>
      </c>
      <c r="B143" s="37" t="str">
        <f>HYPERLINK("http://sedek.ru/upload/iblock/c47/lyen_piligrim.jpg","фото")</f>
        <v>фото</v>
      </c>
      <c r="C143" s="38"/>
      <c r="D143" s="38"/>
      <c r="E143" s="39"/>
      <c r="F143" s="39" t="s">
        <v>238</v>
      </c>
      <c r="G143" s="44">
        <v>0.1</v>
      </c>
      <c r="H143" s="39"/>
      <c r="I143" s="39" t="s">
        <v>102</v>
      </c>
      <c r="J143" s="41">
        <v>4000</v>
      </c>
      <c r="K143" s="42">
        <v>15</v>
      </c>
      <c r="L143" s="43"/>
      <c r="M143" s="43">
        <f>L143*K143</f>
        <v>0</v>
      </c>
      <c r="N143" s="35">
        <v>4690368039291</v>
      </c>
    </row>
    <row r="144" spans="1:14" ht="24" customHeight="1" outlineLevel="3" x14ac:dyDescent="0.2">
      <c r="A144" s="36" t="s">
        <v>239</v>
      </c>
      <c r="B144" s="37" t="str">
        <f>HYPERLINK("http://sedek.ru/upload/iblock/fe0/lvinyy_zev_akvarel_smes.jpg","фото")</f>
        <v>фото</v>
      </c>
      <c r="C144" s="38"/>
      <c r="D144" s="38"/>
      <c r="E144" s="39"/>
      <c r="F144" s="39" t="s">
        <v>240</v>
      </c>
      <c r="G144" s="44">
        <v>0.1</v>
      </c>
      <c r="H144" s="39"/>
      <c r="I144" s="39" t="s">
        <v>102</v>
      </c>
      <c r="J144" s="41">
        <v>4000</v>
      </c>
      <c r="K144" s="42">
        <v>15</v>
      </c>
      <c r="L144" s="43"/>
      <c r="M144" s="43">
        <f>L144*K144</f>
        <v>0</v>
      </c>
      <c r="N144" s="35">
        <v>4690368039314</v>
      </c>
    </row>
    <row r="145" spans="1:14" ht="36" customHeight="1" outlineLevel="3" x14ac:dyDescent="0.2">
      <c r="A145" s="36" t="s">
        <v>241</v>
      </c>
      <c r="B145" s="37" t="str">
        <f>HYPERLINK("http://www.sedek.ru/upload/iblock/b5c/tsvetok_nigella_persidskie_brillianty_du.jpg","фото")</f>
        <v>фото</v>
      </c>
      <c r="C145" s="38"/>
      <c r="D145" s="38"/>
      <c r="E145" s="39"/>
      <c r="F145" s="39" t="s">
        <v>242</v>
      </c>
      <c r="G145" s="44">
        <v>0.1</v>
      </c>
      <c r="H145" s="39"/>
      <c r="I145" s="39" t="s">
        <v>102</v>
      </c>
      <c r="J145" s="41">
        <v>3000</v>
      </c>
      <c r="K145" s="42">
        <v>15</v>
      </c>
      <c r="L145" s="43"/>
      <c r="M145" s="43">
        <f>L145*K145</f>
        <v>0</v>
      </c>
      <c r="N145" s="35">
        <v>4690368038652</v>
      </c>
    </row>
    <row r="146" spans="1:14" ht="24" customHeight="1" outlineLevel="3" x14ac:dyDescent="0.2">
      <c r="A146" s="36" t="s">
        <v>243</v>
      </c>
      <c r="B146" s="37" t="str">
        <f>HYPERLINK("http://sedek.ru/upload/iblock/571/podsolnechnik_gnomik.jpg","фото")</f>
        <v>фото</v>
      </c>
      <c r="C146" s="38"/>
      <c r="D146" s="38"/>
      <c r="E146" s="39"/>
      <c r="F146" s="39" t="s">
        <v>244</v>
      </c>
      <c r="G146" s="44">
        <v>0.3</v>
      </c>
      <c r="H146" s="39"/>
      <c r="I146" s="39" t="s">
        <v>102</v>
      </c>
      <c r="J146" s="41">
        <v>1500</v>
      </c>
      <c r="K146" s="42">
        <v>15</v>
      </c>
      <c r="L146" s="43"/>
      <c r="M146" s="43">
        <f>L146*K146</f>
        <v>0</v>
      </c>
      <c r="N146" s="35">
        <v>4690368038669</v>
      </c>
    </row>
    <row r="147" spans="1:14" ht="36" customHeight="1" outlineLevel="3" x14ac:dyDescent="0.2">
      <c r="A147" s="36" t="s">
        <v>245</v>
      </c>
      <c r="B147" s="37" t="str">
        <f>HYPERLINK("http://www.sedek.ru/upload/iblock/d8e/podsolnechnik_solnechnyy_zaychik_du.jpg","фото")</f>
        <v>фото</v>
      </c>
      <c r="C147" s="38"/>
      <c r="D147" s="38"/>
      <c r="E147" s="39"/>
      <c r="F147" s="39" t="s">
        <v>246</v>
      </c>
      <c r="G147" s="44">
        <v>0.5</v>
      </c>
      <c r="H147" s="39"/>
      <c r="I147" s="39" t="s">
        <v>102</v>
      </c>
      <c r="J147" s="41">
        <v>1500</v>
      </c>
      <c r="K147" s="42">
        <v>15</v>
      </c>
      <c r="L147" s="43"/>
      <c r="M147" s="43">
        <f>L147*K147</f>
        <v>0</v>
      </c>
      <c r="N147" s="35">
        <v>4690368038683</v>
      </c>
    </row>
    <row r="148" spans="1:14" ht="24" customHeight="1" outlineLevel="3" x14ac:dyDescent="0.2">
      <c r="A148" s="36" t="s">
        <v>247</v>
      </c>
      <c r="B148" s="37" t="str">
        <f>HYPERLINK("http://sedek.ru/upload/iblock/087/salviya_rozovyy_zamok_khorminovaya.jpg","фото")</f>
        <v>фото</v>
      </c>
      <c r="C148" s="38"/>
      <c r="D148" s="38"/>
      <c r="E148" s="39"/>
      <c r="F148" s="39" t="s">
        <v>248</v>
      </c>
      <c r="G148" s="44">
        <v>0.1</v>
      </c>
      <c r="H148" s="39"/>
      <c r="I148" s="39" t="s">
        <v>102</v>
      </c>
      <c r="J148" s="41">
        <v>4000</v>
      </c>
      <c r="K148" s="42">
        <v>15</v>
      </c>
      <c r="L148" s="43"/>
      <c r="M148" s="43">
        <f>L148*K148</f>
        <v>0</v>
      </c>
      <c r="N148" s="35">
        <v>4690368038690</v>
      </c>
    </row>
    <row r="149" spans="1:14" ht="24" customHeight="1" outlineLevel="3" x14ac:dyDescent="0.2">
      <c r="A149" s="36" t="s">
        <v>249</v>
      </c>
      <c r="B149" s="37" t="str">
        <f>HYPERLINK("http://sedek.ru/upload/iblock/036/tagetes_gavayi.jpg","фото")</f>
        <v>фото</v>
      </c>
      <c r="C149" s="38"/>
      <c r="D149" s="38"/>
      <c r="E149" s="39"/>
      <c r="F149" s="39" t="s">
        <v>250</v>
      </c>
      <c r="G149" s="44">
        <v>0.2</v>
      </c>
      <c r="H149" s="39"/>
      <c r="I149" s="39" t="s">
        <v>102</v>
      </c>
      <c r="J149" s="41">
        <v>3500</v>
      </c>
      <c r="K149" s="42">
        <v>15</v>
      </c>
      <c r="L149" s="43"/>
      <c r="M149" s="43">
        <f>L149*K149</f>
        <v>0</v>
      </c>
      <c r="N149" s="35">
        <v>4690368039345</v>
      </c>
    </row>
    <row r="150" spans="1:14" ht="24" customHeight="1" outlineLevel="3" x14ac:dyDescent="0.2">
      <c r="A150" s="36" t="s">
        <v>251</v>
      </c>
      <c r="B150" s="37" t="str">
        <f>HYPERLINK("http://sedek.ru/upload/iblock/440/tagetes_kruiz.jpg","фото")</f>
        <v>фото</v>
      </c>
      <c r="C150" s="38"/>
      <c r="D150" s="38"/>
      <c r="E150" s="39"/>
      <c r="F150" s="39" t="s">
        <v>252</v>
      </c>
      <c r="G150" s="44">
        <v>0.2</v>
      </c>
      <c r="H150" s="39"/>
      <c r="I150" s="39" t="s">
        <v>102</v>
      </c>
      <c r="J150" s="41">
        <v>3500</v>
      </c>
      <c r="K150" s="42">
        <v>15</v>
      </c>
      <c r="L150" s="43"/>
      <c r="M150" s="43">
        <f>L150*K150</f>
        <v>0</v>
      </c>
      <c r="N150" s="35">
        <v>4690368039352</v>
      </c>
    </row>
    <row r="151" spans="1:14" ht="36" customHeight="1" outlineLevel="3" x14ac:dyDescent="0.2">
      <c r="A151" s="36" t="s">
        <v>253</v>
      </c>
      <c r="B151" s="37" t="str">
        <f>HYPERLINK("http://sedek.ru/upload/iblock/0c9/floks_drummonda_vernisazh_smes.jpg","фото")</f>
        <v>фото</v>
      </c>
      <c r="C151" s="38"/>
      <c r="D151" s="38"/>
      <c r="E151" s="39"/>
      <c r="F151" s="39" t="s">
        <v>254</v>
      </c>
      <c r="G151" s="44">
        <v>0.1</v>
      </c>
      <c r="H151" s="39"/>
      <c r="I151" s="39" t="s">
        <v>102</v>
      </c>
      <c r="J151" s="41">
        <v>4000</v>
      </c>
      <c r="K151" s="42">
        <v>15</v>
      </c>
      <c r="L151" s="43"/>
      <c r="M151" s="43">
        <f>L151*K151</f>
        <v>0</v>
      </c>
      <c r="N151" s="35">
        <v>4690368039383</v>
      </c>
    </row>
    <row r="152" spans="1:14" ht="36" customHeight="1" outlineLevel="3" x14ac:dyDescent="0.2">
      <c r="A152" s="36" t="s">
        <v>255</v>
      </c>
      <c r="B152" s="37" t="str">
        <f>HYPERLINK("http://sedek.ru/upload/iblock/51f/khrizantema-maskarad_n_.jpg","фото")</f>
        <v>фото</v>
      </c>
      <c r="C152" s="38"/>
      <c r="D152" s="38"/>
      <c r="E152" s="39"/>
      <c r="F152" s="39" t="s">
        <v>256</v>
      </c>
      <c r="G152" s="44">
        <v>0.1</v>
      </c>
      <c r="H152" s="39"/>
      <c r="I152" s="39" t="s">
        <v>102</v>
      </c>
      <c r="J152" s="41">
        <v>3000</v>
      </c>
      <c r="K152" s="42">
        <v>15</v>
      </c>
      <c r="L152" s="43"/>
      <c r="M152" s="43">
        <f>L152*K152</f>
        <v>0</v>
      </c>
      <c r="N152" s="35">
        <v>4690368038720</v>
      </c>
    </row>
    <row r="153" spans="1:14" ht="36" customHeight="1" outlineLevel="3" x14ac:dyDescent="0.2">
      <c r="A153" s="36" t="s">
        <v>257</v>
      </c>
      <c r="B153" s="37" t="str">
        <f>HYPERLINK("http://www.sedek.ru/upload/iblock/927/Целозия Пампас Плюме, смесь (Н).jpg","фото")</f>
        <v>фото</v>
      </c>
      <c r="C153" s="38"/>
      <c r="D153" s="38"/>
      <c r="E153" s="39"/>
      <c r="F153" s="39" t="s">
        <v>258</v>
      </c>
      <c r="G153" s="44">
        <v>0.1</v>
      </c>
      <c r="H153" s="39"/>
      <c r="I153" s="39" t="s">
        <v>102</v>
      </c>
      <c r="J153" s="41">
        <v>2500</v>
      </c>
      <c r="K153" s="42">
        <v>15</v>
      </c>
      <c r="L153" s="43"/>
      <c r="M153" s="43">
        <f>L153*K153</f>
        <v>0</v>
      </c>
      <c r="N153" s="35">
        <v>4690368038737</v>
      </c>
    </row>
    <row r="154" spans="1:14" ht="24" customHeight="1" outlineLevel="3" x14ac:dyDescent="0.2">
      <c r="A154" s="36" t="s">
        <v>259</v>
      </c>
      <c r="B154" s="37" t="str">
        <f>HYPERLINK("http://www.sedek.ru/upload/iblock/041/shchavel_krupnolistnyy.jpg","фото")</f>
        <v>фото</v>
      </c>
      <c r="C154" s="38"/>
      <c r="D154" s="38"/>
      <c r="E154" s="39"/>
      <c r="F154" s="39" t="s">
        <v>260</v>
      </c>
      <c r="G154" s="44">
        <v>0.5</v>
      </c>
      <c r="H154" s="39" t="s">
        <v>101</v>
      </c>
      <c r="I154" s="39" t="s">
        <v>102</v>
      </c>
      <c r="J154" s="41">
        <v>3000</v>
      </c>
      <c r="K154" s="42">
        <v>15</v>
      </c>
      <c r="L154" s="43"/>
      <c r="M154" s="43">
        <f>L154*K154</f>
        <v>0</v>
      </c>
      <c r="N154" s="35">
        <v>4690368034296</v>
      </c>
    </row>
    <row r="155" spans="1:14" ht="12" customHeight="1" outlineLevel="2" x14ac:dyDescent="0.2">
      <c r="A155" s="22"/>
      <c r="B155" s="23"/>
      <c r="C155" s="23"/>
      <c r="D155" s="23"/>
      <c r="E155" s="24"/>
      <c r="F155" s="24" t="s">
        <v>261</v>
      </c>
      <c r="G155" s="24"/>
      <c r="H155" s="24"/>
      <c r="I155" s="24"/>
      <c r="J155" s="24"/>
      <c r="K155" s="24"/>
      <c r="L155" s="24"/>
      <c r="M155" s="24"/>
      <c r="N155" s="25"/>
    </row>
    <row r="156" spans="1:14" ht="36" customHeight="1" outlineLevel="3" x14ac:dyDescent="0.2">
      <c r="A156" s="36" t="s">
        <v>262</v>
      </c>
      <c r="B156" s="37" t="str">
        <f>HYPERLINK("http://sedek.ru/upload/iblock/cdc/arbuz_azhur_svit_f1.jpg","фото")</f>
        <v>фото</v>
      </c>
      <c r="C156" s="38"/>
      <c r="D156" s="38"/>
      <c r="E156" s="39" t="s">
        <v>263</v>
      </c>
      <c r="F156" s="39" t="s">
        <v>264</v>
      </c>
      <c r="G156" s="44">
        <v>0.5</v>
      </c>
      <c r="H156" s="39" t="s">
        <v>101</v>
      </c>
      <c r="I156" s="39" t="s">
        <v>102</v>
      </c>
      <c r="J156" s="41">
        <v>2500</v>
      </c>
      <c r="K156" s="42">
        <v>46</v>
      </c>
      <c r="L156" s="43"/>
      <c r="M156" s="43">
        <f>L156*K156</f>
        <v>0</v>
      </c>
      <c r="N156" s="35">
        <v>4690368028493</v>
      </c>
    </row>
    <row r="157" spans="1:14" ht="36" customHeight="1" outlineLevel="3" x14ac:dyDescent="0.2">
      <c r="A157" s="36" t="s">
        <v>265</v>
      </c>
      <c r="B157" s="37" t="str">
        <f>HYPERLINK("http://sedek.ru/upload/iblock/b19/ul0n7m2860m4sqkv9kulsjw2ckwzyegz/arbuz_astrakhanskiy.png","фото")</f>
        <v>фото</v>
      </c>
      <c r="C157" s="38" t="s">
        <v>266</v>
      </c>
      <c r="D157" s="38"/>
      <c r="E157" s="39"/>
      <c r="F157" s="39" t="s">
        <v>267</v>
      </c>
      <c r="G157" s="40">
        <v>1</v>
      </c>
      <c r="H157" s="39"/>
      <c r="I157" s="39" t="s">
        <v>102</v>
      </c>
      <c r="J157" s="41">
        <v>2500</v>
      </c>
      <c r="K157" s="42">
        <v>16.899999999999999</v>
      </c>
      <c r="L157" s="43"/>
      <c r="M157" s="43">
        <f>L157*K157</f>
        <v>0</v>
      </c>
      <c r="N157" s="35">
        <v>4690368044417</v>
      </c>
    </row>
    <row r="158" spans="1:14" ht="48" customHeight="1" outlineLevel="3" x14ac:dyDescent="0.2">
      <c r="A158" s="45">
        <v>13544</v>
      </c>
      <c r="B158" s="37" t="str">
        <f>HYPERLINK("http://sedek.ru/upload/iblock/04e/arbuz_bolshaya_pekinskaya_radost_f1.jpg","фото")</f>
        <v>фото</v>
      </c>
      <c r="C158" s="38"/>
      <c r="D158" s="38"/>
      <c r="E158" s="39"/>
      <c r="F158" s="39" t="s">
        <v>268</v>
      </c>
      <c r="G158" s="40">
        <v>1</v>
      </c>
      <c r="H158" s="39" t="s">
        <v>101</v>
      </c>
      <c r="I158" s="39" t="s">
        <v>102</v>
      </c>
      <c r="J158" s="41">
        <v>2000</v>
      </c>
      <c r="K158" s="42">
        <v>72.599999999999994</v>
      </c>
      <c r="L158" s="43"/>
      <c r="M158" s="43">
        <f>L158*K158</f>
        <v>0</v>
      </c>
      <c r="N158" s="35">
        <v>4607015181005</v>
      </c>
    </row>
    <row r="159" spans="1:14" ht="36" customHeight="1" outlineLevel="3" x14ac:dyDescent="0.2">
      <c r="A159" s="45">
        <v>14696</v>
      </c>
      <c r="B159" s="37" t="str">
        <f>HYPERLINK("http://sedek.ru/upload/iblock/c33/arbuz_volzhanin.jpg","фото")</f>
        <v>фото</v>
      </c>
      <c r="C159" s="38"/>
      <c r="D159" s="38"/>
      <c r="E159" s="39"/>
      <c r="F159" s="39" t="s">
        <v>269</v>
      </c>
      <c r="G159" s="40">
        <v>1</v>
      </c>
      <c r="H159" s="39" t="s">
        <v>101</v>
      </c>
      <c r="I159" s="39" t="s">
        <v>102</v>
      </c>
      <c r="J159" s="41">
        <v>2000</v>
      </c>
      <c r="K159" s="42">
        <v>16.899999999999999</v>
      </c>
      <c r="L159" s="43"/>
      <c r="M159" s="43">
        <f>L159*K159</f>
        <v>0</v>
      </c>
      <c r="N159" s="35">
        <v>4690368008693</v>
      </c>
    </row>
    <row r="160" spans="1:14" ht="36" customHeight="1" outlineLevel="3" x14ac:dyDescent="0.2">
      <c r="A160" s="36" t="s">
        <v>270</v>
      </c>
      <c r="B160" s="37" t="str">
        <f>HYPERLINK("http://www.sedek.ru/upload/iblock/12d/arbuz_gigant_sakharnyy.jpg","фото")</f>
        <v>фото</v>
      </c>
      <c r="C160" s="38"/>
      <c r="D160" s="38"/>
      <c r="E160" s="39"/>
      <c r="F160" s="39" t="s">
        <v>271</v>
      </c>
      <c r="G160" s="40">
        <v>1</v>
      </c>
      <c r="H160" s="39" t="s">
        <v>101</v>
      </c>
      <c r="I160" s="39" t="s">
        <v>102</v>
      </c>
      <c r="J160" s="41">
        <v>2000</v>
      </c>
      <c r="K160" s="42">
        <v>24.5</v>
      </c>
      <c r="L160" s="43"/>
      <c r="M160" s="43">
        <f>L160*K160</f>
        <v>0</v>
      </c>
      <c r="N160" s="35">
        <v>4690368034364</v>
      </c>
    </row>
    <row r="161" spans="1:14" ht="36" customHeight="1" outlineLevel="3" x14ac:dyDescent="0.2">
      <c r="A161" s="45">
        <v>16536</v>
      </c>
      <c r="B161" s="37" t="str">
        <f>HYPERLINK("http://sedek.ru/upload/iblock/bd4/arbuz_delikatesnyy_f1.jpg","фото")</f>
        <v>фото</v>
      </c>
      <c r="C161" s="38"/>
      <c r="D161" s="38"/>
      <c r="E161" s="39"/>
      <c r="F161" s="39" t="s">
        <v>272</v>
      </c>
      <c r="G161" s="40">
        <v>1</v>
      </c>
      <c r="H161" s="39" t="s">
        <v>101</v>
      </c>
      <c r="I161" s="39" t="s">
        <v>102</v>
      </c>
      <c r="J161" s="41">
        <v>2000</v>
      </c>
      <c r="K161" s="42">
        <v>44.3</v>
      </c>
      <c r="L161" s="43"/>
      <c r="M161" s="43">
        <f>L161*K161</f>
        <v>0</v>
      </c>
      <c r="N161" s="35">
        <v>4690368010863</v>
      </c>
    </row>
    <row r="162" spans="1:14" ht="36" customHeight="1" outlineLevel="3" x14ac:dyDescent="0.2">
      <c r="A162" s="45">
        <v>14833</v>
      </c>
      <c r="B162" s="37" t="str">
        <f>HYPERLINK("http://sedek.ru/upload/iblock/584/arbuz_irinka_f1.jpg","фото")</f>
        <v>фото</v>
      </c>
      <c r="C162" s="38"/>
      <c r="D162" s="38"/>
      <c r="E162" s="39"/>
      <c r="F162" s="39" t="s">
        <v>273</v>
      </c>
      <c r="G162" s="44">
        <v>0.5</v>
      </c>
      <c r="H162" s="39" t="s">
        <v>101</v>
      </c>
      <c r="I162" s="39" t="s">
        <v>102</v>
      </c>
      <c r="J162" s="41">
        <v>2500</v>
      </c>
      <c r="K162" s="42">
        <v>41.7</v>
      </c>
      <c r="L162" s="43"/>
      <c r="M162" s="43">
        <f>L162*K162</f>
        <v>0</v>
      </c>
      <c r="N162" s="35">
        <v>4690368023566</v>
      </c>
    </row>
    <row r="163" spans="1:14" ht="36" customHeight="1" outlineLevel="3" x14ac:dyDescent="0.2">
      <c r="A163" s="45">
        <v>16674</v>
      </c>
      <c r="B163" s="37" t="str">
        <f>HYPERLINK("http://sedek.ru/upload/iblock/56e/arbuz_karlson.jpg","фото")</f>
        <v>фото</v>
      </c>
      <c r="C163" s="38"/>
      <c r="D163" s="38"/>
      <c r="E163" s="39"/>
      <c r="F163" s="39" t="s">
        <v>274</v>
      </c>
      <c r="G163" s="40">
        <v>1</v>
      </c>
      <c r="H163" s="39" t="s">
        <v>101</v>
      </c>
      <c r="I163" s="39" t="s">
        <v>102</v>
      </c>
      <c r="J163" s="41">
        <v>2000</v>
      </c>
      <c r="K163" s="42">
        <v>19.899999999999999</v>
      </c>
      <c r="L163" s="43"/>
      <c r="M163" s="43">
        <f>L163*K163</f>
        <v>0</v>
      </c>
      <c r="N163" s="35">
        <v>4690368026086</v>
      </c>
    </row>
    <row r="164" spans="1:14" ht="48" customHeight="1" outlineLevel="3" x14ac:dyDescent="0.2">
      <c r="A164" s="45">
        <v>16435</v>
      </c>
      <c r="B164" s="37" t="str">
        <f>HYPERLINK("http://sedek.ru/upload/iblock/a5c/arbuz_korall_f1.jpg","фото")</f>
        <v>фото</v>
      </c>
      <c r="C164" s="38"/>
      <c r="D164" s="38"/>
      <c r="E164" s="39"/>
      <c r="F164" s="39" t="s">
        <v>275</v>
      </c>
      <c r="G164" s="40">
        <v>1</v>
      </c>
      <c r="H164" s="39" t="s">
        <v>101</v>
      </c>
      <c r="I164" s="39" t="s">
        <v>102</v>
      </c>
      <c r="J164" s="41">
        <v>2000</v>
      </c>
      <c r="K164" s="42">
        <v>19.899999999999999</v>
      </c>
      <c r="L164" s="43"/>
      <c r="M164" s="43">
        <f>L164*K164</f>
        <v>0</v>
      </c>
      <c r="N164" s="35">
        <v>4690368007344</v>
      </c>
    </row>
    <row r="165" spans="1:14" ht="36" customHeight="1" outlineLevel="3" x14ac:dyDescent="0.2">
      <c r="A165" s="36" t="s">
        <v>276</v>
      </c>
      <c r="B165" s="37" t="str">
        <f>HYPERLINK("https://www.sedek.ru/upload/resize_cache/iblock/f53/150_260_1412697c3fc9d7db764a1c9b61bb01b57/arbuz_krasnyy_myed.jpg","фото")</f>
        <v>фото</v>
      </c>
      <c r="C165" s="38"/>
      <c r="D165" s="38" t="s">
        <v>266</v>
      </c>
      <c r="E165" s="39"/>
      <c r="F165" s="39" t="s">
        <v>277</v>
      </c>
      <c r="G165" s="40">
        <v>1</v>
      </c>
      <c r="H165" s="39"/>
      <c r="I165" s="39" t="s">
        <v>102</v>
      </c>
      <c r="J165" s="41">
        <v>2000</v>
      </c>
      <c r="K165" s="42">
        <v>25.6</v>
      </c>
      <c r="L165" s="43"/>
      <c r="M165" s="43">
        <f>L165*K165</f>
        <v>0</v>
      </c>
      <c r="N165" s="35">
        <v>4690368037754</v>
      </c>
    </row>
    <row r="166" spans="1:14" ht="36" customHeight="1" outlineLevel="3" x14ac:dyDescent="0.2">
      <c r="A166" s="45">
        <v>13853</v>
      </c>
      <c r="B166" s="37" t="str">
        <f>HYPERLINK("http://sedek.ru/upload/iblock/ce1/arbuz_krestyanin.jpg","фото")</f>
        <v>фото</v>
      </c>
      <c r="C166" s="38"/>
      <c r="D166" s="38"/>
      <c r="E166" s="39"/>
      <c r="F166" s="39" t="s">
        <v>278</v>
      </c>
      <c r="G166" s="40">
        <v>1</v>
      </c>
      <c r="H166" s="39" t="s">
        <v>101</v>
      </c>
      <c r="I166" s="39" t="s">
        <v>102</v>
      </c>
      <c r="J166" s="41">
        <v>2000</v>
      </c>
      <c r="K166" s="42">
        <v>61.1</v>
      </c>
      <c r="L166" s="43"/>
      <c r="M166" s="43">
        <f>L166*K166</f>
        <v>0</v>
      </c>
      <c r="N166" s="35">
        <v>4607149404193</v>
      </c>
    </row>
    <row r="167" spans="1:14" ht="48" customHeight="1" outlineLevel="3" x14ac:dyDescent="0.2">
      <c r="A167" s="36" t="s">
        <v>279</v>
      </c>
      <c r="B167" s="37" t="str">
        <f>HYPERLINK("http://www.sedek.ru/upload/iblock/60d/arbuz_krimbig_f1.jpg","Фото")</f>
        <v>Фото</v>
      </c>
      <c r="C167" s="38"/>
      <c r="D167" s="38" t="s">
        <v>266</v>
      </c>
      <c r="E167" s="39"/>
      <c r="F167" s="39" t="s">
        <v>280</v>
      </c>
      <c r="G167" s="44">
        <v>0.5</v>
      </c>
      <c r="H167" s="39" t="s">
        <v>101</v>
      </c>
      <c r="I167" s="39" t="s">
        <v>102</v>
      </c>
      <c r="J167" s="41">
        <v>2500</v>
      </c>
      <c r="K167" s="42">
        <v>43.7</v>
      </c>
      <c r="L167" s="43"/>
      <c r="M167" s="43">
        <f>L167*K167</f>
        <v>0</v>
      </c>
      <c r="N167" s="35">
        <v>4690368028509</v>
      </c>
    </row>
    <row r="168" spans="1:14" ht="48" customHeight="1" outlineLevel="3" x14ac:dyDescent="0.2">
      <c r="A168" s="36" t="s">
        <v>281</v>
      </c>
      <c r="B168" s="37" t="str">
        <f>HYPERLINK("http://sedek.ru/upload/iblock/3a5/arbuz_krimglob_f1.jpg","фото")</f>
        <v>фото</v>
      </c>
      <c r="C168" s="38"/>
      <c r="D168" s="38"/>
      <c r="E168" s="39"/>
      <c r="F168" s="39" t="s">
        <v>282</v>
      </c>
      <c r="G168" s="44">
        <v>0.5</v>
      </c>
      <c r="H168" s="39" t="s">
        <v>101</v>
      </c>
      <c r="I168" s="39" t="s">
        <v>102</v>
      </c>
      <c r="J168" s="41">
        <v>2500</v>
      </c>
      <c r="K168" s="42">
        <v>43.7</v>
      </c>
      <c r="L168" s="43"/>
      <c r="M168" s="43">
        <f>L168*K168</f>
        <v>0</v>
      </c>
      <c r="N168" s="35">
        <v>4690368030953</v>
      </c>
    </row>
    <row r="169" spans="1:14" ht="48" customHeight="1" outlineLevel="3" x14ac:dyDescent="0.2">
      <c r="A169" s="36" t="s">
        <v>283</v>
      </c>
      <c r="B169" s="37" t="str">
        <f>HYPERLINK("http://sedek.ru/upload/iblock/6a2/arbuz_krimlong_f1.jpg","фото")</f>
        <v>фото</v>
      </c>
      <c r="C169" s="38"/>
      <c r="D169" s="38"/>
      <c r="E169" s="39"/>
      <c r="F169" s="39" t="s">
        <v>284</v>
      </c>
      <c r="G169" s="44">
        <v>0.5</v>
      </c>
      <c r="H169" s="39" t="s">
        <v>101</v>
      </c>
      <c r="I169" s="39" t="s">
        <v>102</v>
      </c>
      <c r="J169" s="41">
        <v>2500</v>
      </c>
      <c r="K169" s="42">
        <v>46</v>
      </c>
      <c r="L169" s="43"/>
      <c r="M169" s="43">
        <f>L169*K169</f>
        <v>0</v>
      </c>
      <c r="N169" s="35">
        <v>4690368030946</v>
      </c>
    </row>
    <row r="170" spans="1:14" ht="36" customHeight="1" outlineLevel="3" x14ac:dyDescent="0.2">
      <c r="A170" s="45">
        <v>13719</v>
      </c>
      <c r="B170" s="37" t="str">
        <f>HYPERLINK("http://www.sedek.ru/upload/iblock/2c9/arbuz_krimson_svit.jpg","фото")</f>
        <v>фото</v>
      </c>
      <c r="C170" s="38"/>
      <c r="D170" s="38"/>
      <c r="E170" s="39"/>
      <c r="F170" s="39" t="s">
        <v>285</v>
      </c>
      <c r="G170" s="40">
        <v>1</v>
      </c>
      <c r="H170" s="39" t="s">
        <v>101</v>
      </c>
      <c r="I170" s="39" t="s">
        <v>102</v>
      </c>
      <c r="J170" s="41">
        <v>2000</v>
      </c>
      <c r="K170" s="42">
        <v>18.8</v>
      </c>
      <c r="L170" s="43"/>
      <c r="M170" s="43">
        <f>L170*K170</f>
        <v>0</v>
      </c>
      <c r="N170" s="35">
        <v>4607015181029</v>
      </c>
    </row>
    <row r="171" spans="1:14" ht="36" customHeight="1" outlineLevel="3" x14ac:dyDescent="0.2">
      <c r="A171" s="45">
        <v>13719</v>
      </c>
      <c r="B171" s="37" t="str">
        <f>HYPERLINK("http://www.sedek.ru/upload/iblock/2c9/arbuz_krimson_svit.jpg","фото")</f>
        <v>фото</v>
      </c>
      <c r="C171" s="38"/>
      <c r="D171" s="38"/>
      <c r="E171" s="39"/>
      <c r="F171" s="39" t="s">
        <v>286</v>
      </c>
      <c r="G171" s="40">
        <v>1</v>
      </c>
      <c r="H171" s="39" t="s">
        <v>101</v>
      </c>
      <c r="I171" s="39" t="s">
        <v>287</v>
      </c>
      <c r="J171" s="41">
        <v>2000</v>
      </c>
      <c r="K171" s="42">
        <v>8.5</v>
      </c>
      <c r="L171" s="43"/>
      <c r="M171" s="43">
        <f>L171*K171</f>
        <v>0</v>
      </c>
      <c r="N171" s="35">
        <v>4607149402045</v>
      </c>
    </row>
    <row r="172" spans="1:14" ht="36" customHeight="1" outlineLevel="3" x14ac:dyDescent="0.2">
      <c r="A172" s="45">
        <v>14424</v>
      </c>
      <c r="B172" s="37" t="str">
        <f>HYPERLINK("http://sedek.ru/upload/iblock/e14/arbuz_lezheboka_medovyy_f1.jpg ","фото")</f>
        <v>фото</v>
      </c>
      <c r="C172" s="38"/>
      <c r="D172" s="38"/>
      <c r="E172" s="39"/>
      <c r="F172" s="39" t="s">
        <v>288</v>
      </c>
      <c r="G172" s="40">
        <v>1</v>
      </c>
      <c r="H172" s="39" t="s">
        <v>101</v>
      </c>
      <c r="I172" s="39" t="s">
        <v>102</v>
      </c>
      <c r="J172" s="41">
        <v>2000</v>
      </c>
      <c r="K172" s="42">
        <v>46</v>
      </c>
      <c r="L172" s="43"/>
      <c r="M172" s="43">
        <f>L172*K172</f>
        <v>0</v>
      </c>
      <c r="N172" s="35">
        <v>4607149404179</v>
      </c>
    </row>
    <row r="173" spans="1:14" ht="36" customHeight="1" outlineLevel="3" x14ac:dyDescent="0.2">
      <c r="A173" s="45">
        <v>16051</v>
      </c>
      <c r="B173" s="37" t="str">
        <f>HYPERLINK("http://sedek.ru/upload/iblock/982/arbuz_lyezhkiy.jpg","фото")</f>
        <v>фото</v>
      </c>
      <c r="C173" s="38"/>
      <c r="D173" s="38"/>
      <c r="E173" s="39"/>
      <c r="F173" s="39" t="s">
        <v>289</v>
      </c>
      <c r="G173" s="40">
        <v>1</v>
      </c>
      <c r="H173" s="39" t="s">
        <v>101</v>
      </c>
      <c r="I173" s="39" t="s">
        <v>102</v>
      </c>
      <c r="J173" s="41">
        <v>2000</v>
      </c>
      <c r="K173" s="42">
        <v>23.7</v>
      </c>
      <c r="L173" s="43"/>
      <c r="M173" s="43">
        <f>L173*K173</f>
        <v>0</v>
      </c>
      <c r="N173" s="35">
        <v>4690368014267</v>
      </c>
    </row>
    <row r="174" spans="1:14" ht="36" customHeight="1" outlineLevel="3" x14ac:dyDescent="0.2">
      <c r="A174" s="46">
        <v>15797</v>
      </c>
      <c r="B174" s="47" t="str">
        <f>HYPERLINK("http://sedek.ru/upload/iblock/f18/arbuz_medovyy_gigant.jpg","фото")</f>
        <v>фото</v>
      </c>
      <c r="C174" s="48"/>
      <c r="D174" s="48"/>
      <c r="E174" s="49"/>
      <c r="F174" s="49" t="s">
        <v>290</v>
      </c>
      <c r="G174" s="50">
        <v>1</v>
      </c>
      <c r="H174" s="49" t="s">
        <v>101</v>
      </c>
      <c r="I174" s="49" t="s">
        <v>102</v>
      </c>
      <c r="J174" s="51">
        <v>2000</v>
      </c>
      <c r="K174" s="52">
        <v>20.7</v>
      </c>
      <c r="L174" s="53"/>
      <c r="M174" s="53">
        <f>L174*K174</f>
        <v>0</v>
      </c>
      <c r="N174" s="35">
        <v>4607149404223</v>
      </c>
    </row>
    <row r="175" spans="1:14" ht="36" customHeight="1" outlineLevel="3" x14ac:dyDescent="0.2">
      <c r="A175" s="71">
        <v>15797</v>
      </c>
      <c r="B175" s="72" t="str">
        <f>HYPERLINK("http://sedek.ru/upload/iblock/f18/arbuz_medovyy_gigant.jpg","фото")</f>
        <v>фото</v>
      </c>
      <c r="C175" s="73"/>
      <c r="D175" s="73"/>
      <c r="E175" s="74"/>
      <c r="F175" s="74" t="s">
        <v>291</v>
      </c>
      <c r="G175" s="75">
        <v>1</v>
      </c>
      <c r="H175" s="74" t="s">
        <v>101</v>
      </c>
      <c r="I175" s="74" t="s">
        <v>287</v>
      </c>
      <c r="J175" s="76">
        <v>2000</v>
      </c>
      <c r="K175" s="77">
        <v>9.6999999999999993</v>
      </c>
      <c r="L175" s="78"/>
      <c r="M175" s="78">
        <f>L175*K175</f>
        <v>0</v>
      </c>
      <c r="N175" s="79">
        <v>4607149408580</v>
      </c>
    </row>
    <row r="176" spans="1:14" ht="48" customHeight="1" outlineLevel="3" x14ac:dyDescent="0.2">
      <c r="A176" s="45">
        <v>13630</v>
      </c>
      <c r="B176" s="37" t="str">
        <f>HYPERLINK("http://sedek.ru/upload/iblock/0f8/arbuz_medovyy_gigant_super_f1.jpg","фото")</f>
        <v>фото</v>
      </c>
      <c r="C176" s="38"/>
      <c r="D176" s="38"/>
      <c r="E176" s="39"/>
      <c r="F176" s="39" t="s">
        <v>292</v>
      </c>
      <c r="G176" s="40">
        <v>1</v>
      </c>
      <c r="H176" s="39" t="s">
        <v>101</v>
      </c>
      <c r="I176" s="39" t="s">
        <v>102</v>
      </c>
      <c r="J176" s="41">
        <v>2000</v>
      </c>
      <c r="K176" s="42">
        <v>50.7</v>
      </c>
      <c r="L176" s="43"/>
      <c r="M176" s="43">
        <f>L176*K176</f>
        <v>0</v>
      </c>
      <c r="N176" s="35">
        <v>4690368021999</v>
      </c>
    </row>
    <row r="177" spans="1:14" ht="36" customHeight="1" outlineLevel="3" x14ac:dyDescent="0.2">
      <c r="A177" s="36" t="s">
        <v>293</v>
      </c>
      <c r="B177" s="37" t="str">
        <f>HYPERLINK("http://sedek.ru/upload/iblock/749/medovyy_mavr_f1.png","фото")</f>
        <v>фото</v>
      </c>
      <c r="C177" s="38"/>
      <c r="D177" s="38"/>
      <c r="E177" s="39"/>
      <c r="F177" s="39" t="s">
        <v>294</v>
      </c>
      <c r="G177" s="44">
        <v>0.5</v>
      </c>
      <c r="H177" s="39" t="s">
        <v>101</v>
      </c>
      <c r="I177" s="39" t="s">
        <v>102</v>
      </c>
      <c r="J177" s="41">
        <v>2500</v>
      </c>
      <c r="K177" s="42">
        <v>40.1</v>
      </c>
      <c r="L177" s="43"/>
      <c r="M177" s="43">
        <f>L177*K177</f>
        <v>0</v>
      </c>
      <c r="N177" s="35">
        <v>4690368037341</v>
      </c>
    </row>
    <row r="178" spans="1:14" ht="48" customHeight="1" outlineLevel="3" x14ac:dyDescent="0.2">
      <c r="A178" s="36" t="s">
        <v>295</v>
      </c>
      <c r="B178" s="37" t="str">
        <f>HYPERLINK("http://www.sedek.ru/upload/iblock/995/melotriya_shapito_shershavaya.jpg","фото")</f>
        <v>фото</v>
      </c>
      <c r="C178" s="38"/>
      <c r="D178" s="38" t="s">
        <v>266</v>
      </c>
      <c r="E178" s="39"/>
      <c r="F178" s="39" t="s">
        <v>296</v>
      </c>
      <c r="G178" s="54">
        <v>0.05</v>
      </c>
      <c r="H178" s="39" t="s">
        <v>101</v>
      </c>
      <c r="I178" s="39" t="s">
        <v>102</v>
      </c>
      <c r="J178" s="41">
        <v>2000</v>
      </c>
      <c r="K178" s="42">
        <v>48.7</v>
      </c>
      <c r="L178" s="43"/>
      <c r="M178" s="43">
        <f>L178*K178</f>
        <v>0</v>
      </c>
      <c r="N178" s="35">
        <v>4690368032919</v>
      </c>
    </row>
    <row r="179" spans="1:14" ht="36" customHeight="1" outlineLevel="3" x14ac:dyDescent="0.2">
      <c r="A179" s="45">
        <v>14653</v>
      </c>
      <c r="B179" s="37" t="str">
        <f>HYPERLINK("http://sedek.ru/upload/iblock/31c/arbuz_ogonyek.jpg","фото")</f>
        <v>фото</v>
      </c>
      <c r="C179" s="38"/>
      <c r="D179" s="38"/>
      <c r="E179" s="39"/>
      <c r="F179" s="39" t="s">
        <v>297</v>
      </c>
      <c r="G179" s="40">
        <v>1</v>
      </c>
      <c r="H179" s="39" t="s">
        <v>101</v>
      </c>
      <c r="I179" s="39" t="s">
        <v>102</v>
      </c>
      <c r="J179" s="41">
        <v>2000</v>
      </c>
      <c r="K179" s="42">
        <v>15.6</v>
      </c>
      <c r="L179" s="43"/>
      <c r="M179" s="43">
        <f>L179*K179</f>
        <v>0</v>
      </c>
      <c r="N179" s="35">
        <v>4607149401505</v>
      </c>
    </row>
    <row r="180" spans="1:14" ht="36" customHeight="1" outlineLevel="3" x14ac:dyDescent="0.2">
      <c r="A180" s="45">
        <v>14653</v>
      </c>
      <c r="B180" s="37" t="str">
        <f>HYPERLINK("http://sedek.ru/upload/iblock/31c/arbuz_ogonyek.jpg","фото")</f>
        <v>фото</v>
      </c>
      <c r="C180" s="38"/>
      <c r="D180" s="38"/>
      <c r="E180" s="39"/>
      <c r="F180" s="39" t="s">
        <v>298</v>
      </c>
      <c r="G180" s="40">
        <v>1</v>
      </c>
      <c r="H180" s="39" t="s">
        <v>101</v>
      </c>
      <c r="I180" s="39" t="s">
        <v>287</v>
      </c>
      <c r="J180" s="41">
        <v>2000</v>
      </c>
      <c r="K180" s="42">
        <v>8.1</v>
      </c>
      <c r="L180" s="43"/>
      <c r="M180" s="43">
        <f>L180*K180</f>
        <v>0</v>
      </c>
      <c r="N180" s="35">
        <v>4607149403752</v>
      </c>
    </row>
    <row r="181" spans="1:14" ht="36" customHeight="1" outlineLevel="3" x14ac:dyDescent="0.2">
      <c r="A181" s="45">
        <v>14836</v>
      </c>
      <c r="B181" s="37" t="str">
        <f>HYPERLINK("http://sedek.ru/upload/iblock/bb7/arbuz_patsany.jpg","фото")</f>
        <v>фото</v>
      </c>
      <c r="C181" s="38"/>
      <c r="D181" s="38"/>
      <c r="E181" s="39"/>
      <c r="F181" s="39" t="s">
        <v>299</v>
      </c>
      <c r="G181" s="40">
        <v>1</v>
      </c>
      <c r="H181" s="39" t="s">
        <v>101</v>
      </c>
      <c r="I181" s="39" t="s">
        <v>102</v>
      </c>
      <c r="J181" s="41">
        <v>2000</v>
      </c>
      <c r="K181" s="42">
        <v>19.899999999999999</v>
      </c>
      <c r="L181" s="43"/>
      <c r="M181" s="43">
        <f>L181*K181</f>
        <v>0</v>
      </c>
      <c r="N181" s="35">
        <v>4690368016346</v>
      </c>
    </row>
    <row r="182" spans="1:14" ht="48" customHeight="1" outlineLevel="3" x14ac:dyDescent="0.2">
      <c r="A182" s="45">
        <v>16213</v>
      </c>
      <c r="B182" s="37" t="str">
        <f>HYPERLINK("http://sedek.ru/upload/iblock/773/arbuz_pekinskaya_radost_lyezhkaya_f1.jpg","фото")</f>
        <v>фото</v>
      </c>
      <c r="C182" s="38"/>
      <c r="D182" s="38"/>
      <c r="E182" s="39"/>
      <c r="F182" s="39" t="s">
        <v>300</v>
      </c>
      <c r="G182" s="40">
        <v>1</v>
      </c>
      <c r="H182" s="39" t="s">
        <v>101</v>
      </c>
      <c r="I182" s="39" t="s">
        <v>102</v>
      </c>
      <c r="J182" s="41">
        <v>2000</v>
      </c>
      <c r="K182" s="42">
        <v>46</v>
      </c>
      <c r="L182" s="43"/>
      <c r="M182" s="43">
        <f>L182*K182</f>
        <v>0</v>
      </c>
      <c r="N182" s="35">
        <v>4690368014724</v>
      </c>
    </row>
    <row r="183" spans="1:14" ht="48" customHeight="1" outlineLevel="3" x14ac:dyDescent="0.2">
      <c r="A183" s="45">
        <v>14134</v>
      </c>
      <c r="B183" s="37" t="str">
        <f>HYPERLINK("http://sedek.ru/upload/iblock/205/arbuz_pekinskaya_radost_fermerskaya_f1.jpg","фото")</f>
        <v>фото</v>
      </c>
      <c r="C183" s="38"/>
      <c r="D183" s="38"/>
      <c r="E183" s="39"/>
      <c r="F183" s="39" t="s">
        <v>301</v>
      </c>
      <c r="G183" s="40">
        <v>1</v>
      </c>
      <c r="H183" s="39" t="s">
        <v>101</v>
      </c>
      <c r="I183" s="39" t="s">
        <v>102</v>
      </c>
      <c r="J183" s="41">
        <v>2000</v>
      </c>
      <c r="K183" s="42">
        <v>64.3</v>
      </c>
      <c r="L183" s="43"/>
      <c r="M183" s="43">
        <f>L183*K183</f>
        <v>0</v>
      </c>
      <c r="N183" s="35">
        <v>4607116266953</v>
      </c>
    </row>
    <row r="184" spans="1:14" ht="48" customHeight="1" outlineLevel="3" x14ac:dyDescent="0.2">
      <c r="A184" s="45">
        <v>15863</v>
      </c>
      <c r="B184" s="37" t="str">
        <f>HYPERLINK("http://sedek.ru/upload/iblock/378/arbuz_prints_albert_f1.jpg","фото")</f>
        <v>фото</v>
      </c>
      <c r="C184" s="38"/>
      <c r="D184" s="38"/>
      <c r="E184" s="39" t="s">
        <v>302</v>
      </c>
      <c r="F184" s="39" t="s">
        <v>303</v>
      </c>
      <c r="G184" s="40">
        <v>3</v>
      </c>
      <c r="H184" s="39"/>
      <c r="I184" s="39" t="s">
        <v>102</v>
      </c>
      <c r="J184" s="41">
        <v>2500</v>
      </c>
      <c r="K184" s="42">
        <v>87.7</v>
      </c>
      <c r="L184" s="43"/>
      <c r="M184" s="43">
        <f>L184*K184</f>
        <v>0</v>
      </c>
      <c r="N184" s="35">
        <v>4607116267004</v>
      </c>
    </row>
    <row r="185" spans="1:14" ht="48" customHeight="1" outlineLevel="3" x14ac:dyDescent="0.2">
      <c r="A185" s="45">
        <v>14185</v>
      </c>
      <c r="B185" s="37" t="str">
        <f>HYPERLINK("http://sedek.ru/upload/iblock/c93/arbuz_prints_vilyams_f1.jpg","фото")</f>
        <v>фото</v>
      </c>
      <c r="C185" s="38"/>
      <c r="D185" s="38"/>
      <c r="E185" s="39" t="s">
        <v>302</v>
      </c>
      <c r="F185" s="39" t="s">
        <v>304</v>
      </c>
      <c r="G185" s="44">
        <v>0.5</v>
      </c>
      <c r="H185" s="39" t="s">
        <v>101</v>
      </c>
      <c r="I185" s="39" t="s">
        <v>102</v>
      </c>
      <c r="J185" s="41">
        <v>2500</v>
      </c>
      <c r="K185" s="42">
        <v>79.3</v>
      </c>
      <c r="L185" s="43"/>
      <c r="M185" s="43">
        <f>L185*K185</f>
        <v>0</v>
      </c>
      <c r="N185" s="35">
        <v>4607116267028</v>
      </c>
    </row>
    <row r="186" spans="1:14" ht="48" customHeight="1" outlineLevel="3" x14ac:dyDescent="0.2">
      <c r="A186" s="45">
        <v>16565</v>
      </c>
      <c r="B186" s="37" t="str">
        <f>HYPERLINK("http://sedek.ru/upload/iblock/8fc/arbuz_prints_gamlet_f1.jpg","фото")</f>
        <v>фото</v>
      </c>
      <c r="C186" s="38"/>
      <c r="D186" s="38"/>
      <c r="E186" s="39" t="s">
        <v>302</v>
      </c>
      <c r="F186" s="39" t="s">
        <v>305</v>
      </c>
      <c r="G186" s="44">
        <v>0.5</v>
      </c>
      <c r="H186" s="39" t="s">
        <v>101</v>
      </c>
      <c r="I186" s="39" t="s">
        <v>102</v>
      </c>
      <c r="J186" s="41">
        <v>2500</v>
      </c>
      <c r="K186" s="42">
        <v>96.7</v>
      </c>
      <c r="L186" s="43"/>
      <c r="M186" s="43">
        <f>L186*K186</f>
        <v>0</v>
      </c>
      <c r="N186" s="35">
        <v>4607116267035</v>
      </c>
    </row>
    <row r="187" spans="1:14" ht="48" customHeight="1" outlineLevel="3" x14ac:dyDescent="0.2">
      <c r="A187" s="45">
        <v>16565</v>
      </c>
      <c r="B187" s="37" t="str">
        <f>HYPERLINK("http://sedek.ru/upload/iblock/8fc/arbuz_prints_gamlet_f1.jpg","фото")</f>
        <v>фото</v>
      </c>
      <c r="C187" s="38"/>
      <c r="D187" s="38"/>
      <c r="E187" s="39" t="s">
        <v>302</v>
      </c>
      <c r="F187" s="39" t="s">
        <v>306</v>
      </c>
      <c r="G187" s="40">
        <v>3</v>
      </c>
      <c r="H187" s="39" t="s">
        <v>307</v>
      </c>
      <c r="I187" s="39" t="s">
        <v>102</v>
      </c>
      <c r="J187" s="41">
        <v>2500</v>
      </c>
      <c r="K187" s="42">
        <v>96.7</v>
      </c>
      <c r="L187" s="43"/>
      <c r="M187" s="43">
        <f>L187*K187</f>
        <v>0</v>
      </c>
      <c r="N187" s="35">
        <v>4607116267035</v>
      </c>
    </row>
    <row r="188" spans="1:14" ht="48" customHeight="1" outlineLevel="3" x14ac:dyDescent="0.2">
      <c r="A188" s="45">
        <v>14169</v>
      </c>
      <c r="B188" s="37" t="str">
        <f>HYPERLINK("http://sedek.ru/upload/iblock/dc5/arbuz_prints_garri_f1.jpg","фото")</f>
        <v>фото</v>
      </c>
      <c r="C188" s="38"/>
      <c r="D188" s="38"/>
      <c r="E188" s="39" t="s">
        <v>302</v>
      </c>
      <c r="F188" s="39" t="s">
        <v>308</v>
      </c>
      <c r="G188" s="40">
        <v>3</v>
      </c>
      <c r="H188" s="39"/>
      <c r="I188" s="39" t="s">
        <v>102</v>
      </c>
      <c r="J188" s="41">
        <v>2500</v>
      </c>
      <c r="K188" s="42">
        <v>103.8</v>
      </c>
      <c r="L188" s="43"/>
      <c r="M188" s="43">
        <f>L188*K188</f>
        <v>0</v>
      </c>
      <c r="N188" s="35">
        <v>4607116267011</v>
      </c>
    </row>
    <row r="189" spans="1:14" ht="48" customHeight="1" outlineLevel="3" x14ac:dyDescent="0.2">
      <c r="A189" s="45">
        <v>15529</v>
      </c>
      <c r="B189" s="37" t="str">
        <f>HYPERLINK("http://sedek.ru/upload/iblock/bfb/arbuz_prints_datskiy_f1.jpg","фото")</f>
        <v>фото</v>
      </c>
      <c r="C189" s="38"/>
      <c r="D189" s="38" t="s">
        <v>266</v>
      </c>
      <c r="E189" s="39" t="s">
        <v>302</v>
      </c>
      <c r="F189" s="39" t="s">
        <v>309</v>
      </c>
      <c r="G189" s="40">
        <v>3</v>
      </c>
      <c r="H189" s="39"/>
      <c r="I189" s="39" t="s">
        <v>102</v>
      </c>
      <c r="J189" s="41">
        <v>2500</v>
      </c>
      <c r="K189" s="42">
        <v>65.7</v>
      </c>
      <c r="L189" s="43"/>
      <c r="M189" s="43">
        <f>L189*K189</f>
        <v>0</v>
      </c>
      <c r="N189" s="35">
        <v>4690368015912</v>
      </c>
    </row>
    <row r="190" spans="1:14" ht="48" customHeight="1" outlineLevel="3" x14ac:dyDescent="0.2">
      <c r="A190" s="45">
        <v>14393</v>
      </c>
      <c r="B190" s="37" t="str">
        <f>HYPERLINK("http://sedek.ru/upload/iblock/29a/arbuz_prints_charlz_f1.jpg","фото")</f>
        <v>фото</v>
      </c>
      <c r="C190" s="38"/>
      <c r="D190" s="38"/>
      <c r="E190" s="39" t="s">
        <v>302</v>
      </c>
      <c r="F190" s="39" t="s">
        <v>310</v>
      </c>
      <c r="G190" s="44">
        <v>0.5</v>
      </c>
      <c r="H190" s="39" t="s">
        <v>101</v>
      </c>
      <c r="I190" s="39" t="s">
        <v>102</v>
      </c>
      <c r="J190" s="41">
        <v>2500</v>
      </c>
      <c r="K190" s="42">
        <v>87.7</v>
      </c>
      <c r="L190" s="43"/>
      <c r="M190" s="43">
        <f>L190*K190</f>
        <v>0</v>
      </c>
      <c r="N190" s="35">
        <v>4607116267042</v>
      </c>
    </row>
    <row r="191" spans="1:14" ht="48" customHeight="1" outlineLevel="3" x14ac:dyDescent="0.2">
      <c r="A191" s="45">
        <v>14427</v>
      </c>
      <c r="B191" s="37" t="str">
        <f>HYPERLINK("http://sedek.ru/upload/iblock/90e/arbuz_radost_f1.jpg","фото")</f>
        <v>фото</v>
      </c>
      <c r="C191" s="38"/>
      <c r="D191" s="38"/>
      <c r="E191" s="39"/>
      <c r="F191" s="39" t="s">
        <v>311</v>
      </c>
      <c r="G191" s="40">
        <v>1</v>
      </c>
      <c r="H191" s="39" t="s">
        <v>101</v>
      </c>
      <c r="I191" s="39" t="s">
        <v>102</v>
      </c>
      <c r="J191" s="41">
        <v>2000</v>
      </c>
      <c r="K191" s="42">
        <v>44.2</v>
      </c>
      <c r="L191" s="43"/>
      <c r="M191" s="43">
        <f>L191*K191</f>
        <v>0</v>
      </c>
      <c r="N191" s="35">
        <v>4690368023573</v>
      </c>
    </row>
    <row r="192" spans="1:14" ht="48" customHeight="1" outlineLevel="3" x14ac:dyDescent="0.2">
      <c r="A192" s="36" t="s">
        <v>312</v>
      </c>
      <c r="B192" s="37" t="str">
        <f>HYPERLINK("http://sedek.ru/upload/iblock/584/arbuz_rozovyy_med.jpg","фото")</f>
        <v>фото</v>
      </c>
      <c r="C192" s="38"/>
      <c r="D192" s="38"/>
      <c r="E192" s="39"/>
      <c r="F192" s="39" t="s">
        <v>313</v>
      </c>
      <c r="G192" s="40">
        <v>1</v>
      </c>
      <c r="H192" s="39" t="s">
        <v>101</v>
      </c>
      <c r="I192" s="39" t="s">
        <v>102</v>
      </c>
      <c r="J192" s="41">
        <v>2000</v>
      </c>
      <c r="K192" s="42">
        <v>24.5</v>
      </c>
      <c r="L192" s="43"/>
      <c r="M192" s="43">
        <f>L192*K192</f>
        <v>0</v>
      </c>
      <c r="N192" s="35">
        <v>4690368034340</v>
      </c>
    </row>
    <row r="193" spans="1:14" ht="48" customHeight="1" outlineLevel="3" x14ac:dyDescent="0.2">
      <c r="A193" s="46">
        <v>16306</v>
      </c>
      <c r="B193" s="47" t="str">
        <f>HYPERLINK("http://sedek.ru/upload/iblock/81a/arbuz_sakharnyy_malysh.jpg","фото")</f>
        <v>фото</v>
      </c>
      <c r="C193" s="48"/>
      <c r="D193" s="48"/>
      <c r="E193" s="49"/>
      <c r="F193" s="49" t="s">
        <v>314</v>
      </c>
      <c r="G193" s="50">
        <v>1</v>
      </c>
      <c r="H193" s="49" t="s">
        <v>101</v>
      </c>
      <c r="I193" s="49" t="s">
        <v>102</v>
      </c>
      <c r="J193" s="51">
        <v>2000</v>
      </c>
      <c r="K193" s="52">
        <v>17.899999999999999</v>
      </c>
      <c r="L193" s="53"/>
      <c r="M193" s="53">
        <f>L193*K193</f>
        <v>0</v>
      </c>
      <c r="N193" s="35">
        <v>4607149404209</v>
      </c>
    </row>
    <row r="194" spans="1:14" ht="48" customHeight="1" outlineLevel="3" x14ac:dyDescent="0.2">
      <c r="A194" s="71">
        <v>16306</v>
      </c>
      <c r="B194" s="72" t="str">
        <f>HYPERLINK("http://sedek.ru/upload/iblock/81a/arbuz_sakharnyy_malysh.jpg","фото")</f>
        <v>фото</v>
      </c>
      <c r="C194" s="73"/>
      <c r="D194" s="73"/>
      <c r="E194" s="74"/>
      <c r="F194" s="74" t="s">
        <v>315</v>
      </c>
      <c r="G194" s="75">
        <v>1</v>
      </c>
      <c r="H194" s="74" t="s">
        <v>101</v>
      </c>
      <c r="I194" s="74" t="s">
        <v>287</v>
      </c>
      <c r="J194" s="76">
        <v>2000</v>
      </c>
      <c r="K194" s="77">
        <v>9.1999999999999993</v>
      </c>
      <c r="L194" s="78"/>
      <c r="M194" s="78">
        <f>L194*K194</f>
        <v>0</v>
      </c>
      <c r="N194" s="79">
        <v>4607149403745</v>
      </c>
    </row>
    <row r="195" spans="1:14" ht="48" customHeight="1" outlineLevel="3" x14ac:dyDescent="0.2">
      <c r="A195" s="46">
        <v>16366</v>
      </c>
      <c r="B195" s="47" t="str">
        <f>HYPERLINK("http://sedek.ru/upload/iblock/cc0/arbuz_skorospelyy_sakharnyy.jpg","фото")</f>
        <v>фото</v>
      </c>
      <c r="C195" s="48"/>
      <c r="D195" s="48"/>
      <c r="E195" s="49"/>
      <c r="F195" s="49" t="s">
        <v>316</v>
      </c>
      <c r="G195" s="50">
        <v>1</v>
      </c>
      <c r="H195" s="49" t="s">
        <v>101</v>
      </c>
      <c r="I195" s="49" t="s">
        <v>102</v>
      </c>
      <c r="J195" s="51">
        <v>2000</v>
      </c>
      <c r="K195" s="52">
        <v>17.899999999999999</v>
      </c>
      <c r="L195" s="53"/>
      <c r="M195" s="53">
        <f>L195*K195</f>
        <v>0</v>
      </c>
      <c r="N195" s="35">
        <v>4607015181043</v>
      </c>
    </row>
    <row r="196" spans="1:14" ht="48" customHeight="1" outlineLevel="3" x14ac:dyDescent="0.2">
      <c r="A196" s="71">
        <v>16366</v>
      </c>
      <c r="B196" s="72" t="str">
        <f>HYPERLINK("http://sedek.ru/upload/iblock/cc0/arbuz_skorospelyy_sakharnyy.jpg","фото")</f>
        <v>фото</v>
      </c>
      <c r="C196" s="73"/>
      <c r="D196" s="73"/>
      <c r="E196" s="74"/>
      <c r="F196" s="74" t="s">
        <v>317</v>
      </c>
      <c r="G196" s="75">
        <v>1</v>
      </c>
      <c r="H196" s="74" t="s">
        <v>101</v>
      </c>
      <c r="I196" s="74" t="s">
        <v>287</v>
      </c>
      <c r="J196" s="76">
        <v>2000</v>
      </c>
      <c r="K196" s="77">
        <v>9.1</v>
      </c>
      <c r="L196" s="78"/>
      <c r="M196" s="78">
        <f>L196*K196</f>
        <v>0</v>
      </c>
      <c r="N196" s="79">
        <v>4607149402052</v>
      </c>
    </row>
    <row r="197" spans="1:14" ht="48" customHeight="1" outlineLevel="3" x14ac:dyDescent="0.2">
      <c r="A197" s="45">
        <v>14279</v>
      </c>
      <c r="B197" s="37" t="str">
        <f>HYPERLINK("http://sedek.ru/upload/iblock/d70/arbuz_favorit.jpg","фото")</f>
        <v>фото</v>
      </c>
      <c r="C197" s="38"/>
      <c r="D197" s="38"/>
      <c r="E197" s="39"/>
      <c r="F197" s="39" t="s">
        <v>318</v>
      </c>
      <c r="G197" s="40">
        <v>1</v>
      </c>
      <c r="H197" s="39" t="s">
        <v>101</v>
      </c>
      <c r="I197" s="39" t="s">
        <v>102</v>
      </c>
      <c r="J197" s="41">
        <v>2000</v>
      </c>
      <c r="K197" s="42">
        <v>19.899999999999999</v>
      </c>
      <c r="L197" s="43"/>
      <c r="M197" s="43">
        <f>L197*K197</f>
        <v>0</v>
      </c>
      <c r="N197" s="35">
        <v>4690368008716</v>
      </c>
    </row>
    <row r="198" spans="1:14" ht="48" customHeight="1" outlineLevel="3" x14ac:dyDescent="0.2">
      <c r="A198" s="45">
        <v>14639</v>
      </c>
      <c r="B198" s="37" t="str">
        <f>HYPERLINK("http://sedek.ru/upload/iblock/76f/arbuz_fermer_f1.jpg","фото")</f>
        <v>фото</v>
      </c>
      <c r="C198" s="38"/>
      <c r="D198" s="38"/>
      <c r="E198" s="39"/>
      <c r="F198" s="39" t="s">
        <v>319</v>
      </c>
      <c r="G198" s="40">
        <v>1</v>
      </c>
      <c r="H198" s="39" t="s">
        <v>101</v>
      </c>
      <c r="I198" s="39" t="s">
        <v>102</v>
      </c>
      <c r="J198" s="41">
        <v>2000</v>
      </c>
      <c r="K198" s="42">
        <v>39.200000000000003</v>
      </c>
      <c r="L198" s="43"/>
      <c r="M198" s="43">
        <f>L198*K198</f>
        <v>0</v>
      </c>
      <c r="N198" s="35">
        <v>4607149404186</v>
      </c>
    </row>
    <row r="199" spans="1:14" ht="36" customHeight="1" outlineLevel="3" x14ac:dyDescent="0.2">
      <c r="A199" s="45">
        <v>14346</v>
      </c>
      <c r="B199" s="37" t="str">
        <f>HYPERLINK("http://sedek.ru/upload/iblock/8b3/arbuz_kholodok.jpg","фото")</f>
        <v>фото</v>
      </c>
      <c r="C199" s="38"/>
      <c r="D199" s="38"/>
      <c r="E199" s="39"/>
      <c r="F199" s="39" t="s">
        <v>320</v>
      </c>
      <c r="G199" s="40">
        <v>1</v>
      </c>
      <c r="H199" s="39" t="s">
        <v>101</v>
      </c>
      <c r="I199" s="39" t="s">
        <v>102</v>
      </c>
      <c r="J199" s="41">
        <v>2000</v>
      </c>
      <c r="K199" s="42">
        <v>18.8</v>
      </c>
      <c r="L199" s="43"/>
      <c r="M199" s="43">
        <f>L199*K199</f>
        <v>0</v>
      </c>
      <c r="N199" s="35">
        <v>4690368005685</v>
      </c>
    </row>
    <row r="200" spans="1:14" ht="36" customHeight="1" outlineLevel="3" x14ac:dyDescent="0.2">
      <c r="A200" s="45">
        <v>16077</v>
      </c>
      <c r="B200" s="37" t="str">
        <f>HYPERLINK("http://sedek.ru/upload/iblock/a89/arbuz_chudo_vostoka.jpg","фото")</f>
        <v>фото</v>
      </c>
      <c r="C200" s="38"/>
      <c r="D200" s="38"/>
      <c r="E200" s="39"/>
      <c r="F200" s="39" t="s">
        <v>321</v>
      </c>
      <c r="G200" s="40">
        <v>1</v>
      </c>
      <c r="H200" s="39" t="s">
        <v>101</v>
      </c>
      <c r="I200" s="39" t="s">
        <v>102</v>
      </c>
      <c r="J200" s="41">
        <v>2000</v>
      </c>
      <c r="K200" s="42">
        <v>37.1</v>
      </c>
      <c r="L200" s="43"/>
      <c r="M200" s="43">
        <f>L200*K200</f>
        <v>0</v>
      </c>
      <c r="N200" s="35">
        <v>4607149404216</v>
      </c>
    </row>
    <row r="201" spans="1:14" ht="36" customHeight="1" outlineLevel="3" x14ac:dyDescent="0.2">
      <c r="A201" s="45">
        <v>14531</v>
      </c>
      <c r="B201" s="37" t="str">
        <f>HYPERLINK("http://sedek.ru/upload/iblock/0e8/arbuz_shuga_bebi.jpg","фото")</f>
        <v>фото</v>
      </c>
      <c r="C201" s="38"/>
      <c r="D201" s="38"/>
      <c r="E201" s="39"/>
      <c r="F201" s="39" t="s">
        <v>322</v>
      </c>
      <c r="G201" s="40">
        <v>1</v>
      </c>
      <c r="H201" s="39" t="s">
        <v>101</v>
      </c>
      <c r="I201" s="39" t="s">
        <v>102</v>
      </c>
      <c r="J201" s="41">
        <v>2000</v>
      </c>
      <c r="K201" s="42">
        <v>16.7</v>
      </c>
      <c r="L201" s="43"/>
      <c r="M201" s="43">
        <f>L201*K201</f>
        <v>0</v>
      </c>
      <c r="N201" s="35">
        <v>4607015181081</v>
      </c>
    </row>
    <row r="202" spans="1:14" ht="36" customHeight="1" outlineLevel="3" x14ac:dyDescent="0.2">
      <c r="A202" s="45">
        <v>14531</v>
      </c>
      <c r="B202" s="37" t="str">
        <f>HYPERLINK("http://sedek.ru/upload/iblock/0e8/arbuz_shuga_bebi.jpg","фото")</f>
        <v>фото</v>
      </c>
      <c r="C202" s="38"/>
      <c r="D202" s="38"/>
      <c r="E202" s="39"/>
      <c r="F202" s="39" t="s">
        <v>323</v>
      </c>
      <c r="G202" s="40">
        <v>1</v>
      </c>
      <c r="H202" s="39" t="s">
        <v>101</v>
      </c>
      <c r="I202" s="39" t="s">
        <v>287</v>
      </c>
      <c r="J202" s="41">
        <v>2000</v>
      </c>
      <c r="K202" s="42">
        <v>6.5</v>
      </c>
      <c r="L202" s="43"/>
      <c r="M202" s="43">
        <f>L202*K202</f>
        <v>0</v>
      </c>
      <c r="N202" s="35">
        <v>4607149408597</v>
      </c>
    </row>
    <row r="203" spans="1:14" ht="12" customHeight="1" outlineLevel="2" x14ac:dyDescent="0.2">
      <c r="A203" s="22"/>
      <c r="B203" s="23"/>
      <c r="C203" s="23"/>
      <c r="D203" s="23"/>
      <c r="E203" s="24"/>
      <c r="F203" s="24" t="s">
        <v>324</v>
      </c>
      <c r="G203" s="24"/>
      <c r="H203" s="24"/>
      <c r="I203" s="24"/>
      <c r="J203" s="24"/>
      <c r="K203" s="24"/>
      <c r="L203" s="24"/>
      <c r="M203" s="24"/>
      <c r="N203" s="25"/>
    </row>
    <row r="204" spans="1:14" ht="48" customHeight="1" outlineLevel="3" x14ac:dyDescent="0.2">
      <c r="A204" s="45">
        <v>15194</v>
      </c>
      <c r="B204" s="37" t="str">
        <f>HYPERLINK("http://sedek.ru/upload/resize_cache/iblock/8d3/dcresscd2ld29loexqpctg3rktr38t2e/360_9999_140cd750bba9870f18aada2478b24840a/artishok_zamorskiy_delikates.png","фото")</f>
        <v>фото</v>
      </c>
      <c r="C204" s="38"/>
      <c r="D204" s="38"/>
      <c r="E204" s="39"/>
      <c r="F204" s="39" t="s">
        <v>325</v>
      </c>
      <c r="G204" s="44">
        <v>0.2</v>
      </c>
      <c r="H204" s="39" t="s">
        <v>101</v>
      </c>
      <c r="I204" s="39" t="s">
        <v>102</v>
      </c>
      <c r="J204" s="41">
        <v>4000</v>
      </c>
      <c r="K204" s="42">
        <v>20.5</v>
      </c>
      <c r="L204" s="43"/>
      <c r="M204" s="43">
        <f>L204*K204</f>
        <v>0</v>
      </c>
      <c r="N204" s="35">
        <v>4690368004367</v>
      </c>
    </row>
    <row r="205" spans="1:14" ht="59.1" customHeight="1" outlineLevel="3" x14ac:dyDescent="0.2">
      <c r="A205" s="45">
        <v>15594</v>
      </c>
      <c r="B205" s="37" t="str">
        <f>HYPERLINK("https://www.sedek.ru/upload/iblock/34c/ybbqkz37rjpasjk5jx2j00adlv1vrv6k/artishok_krasavets.JPG")</f>
        <v>https://www.sedek.ru/upload/iblock/34c/ybbqkz37rjpasjk5jx2j00adlv1vrv6k/artishok_krasavets.JPG</v>
      </c>
      <c r="C205" s="38"/>
      <c r="D205" s="38"/>
      <c r="E205" s="39"/>
      <c r="F205" s="39" t="s">
        <v>326</v>
      </c>
      <c r="G205" s="44">
        <v>0.2</v>
      </c>
      <c r="H205" s="39" t="s">
        <v>101</v>
      </c>
      <c r="I205" s="39" t="s">
        <v>102</v>
      </c>
      <c r="J205" s="41">
        <v>4000</v>
      </c>
      <c r="K205" s="42">
        <v>20.5</v>
      </c>
      <c r="L205" s="43"/>
      <c r="M205" s="43">
        <f>L205*K205</f>
        <v>0</v>
      </c>
      <c r="N205" s="35">
        <v>4607149401512</v>
      </c>
    </row>
    <row r="206" spans="1:14" ht="12" customHeight="1" outlineLevel="2" x14ac:dyDescent="0.2">
      <c r="A206" s="22"/>
      <c r="B206" s="23"/>
      <c r="C206" s="23"/>
      <c r="D206" s="23"/>
      <c r="E206" s="24"/>
      <c r="F206" s="24" t="s">
        <v>327</v>
      </c>
      <c r="G206" s="24"/>
      <c r="H206" s="24"/>
      <c r="I206" s="24"/>
      <c r="J206" s="24"/>
      <c r="K206" s="24"/>
      <c r="L206" s="24"/>
      <c r="M206" s="24"/>
      <c r="N206" s="25"/>
    </row>
    <row r="207" spans="1:14" ht="24" customHeight="1" outlineLevel="3" x14ac:dyDescent="0.2">
      <c r="A207" s="36" t="s">
        <v>328</v>
      </c>
      <c r="B207" s="37" t="str">
        <f>HYPERLINK("http://www.sedek.ru/upload/iblock/d08/bazilik_azhur_zelenyy.jpg","фото")</f>
        <v>фото</v>
      </c>
      <c r="C207" s="38" t="s">
        <v>266</v>
      </c>
      <c r="D207" s="38"/>
      <c r="E207" s="39" t="s">
        <v>263</v>
      </c>
      <c r="F207" s="39" t="s">
        <v>329</v>
      </c>
      <c r="G207" s="44">
        <v>0.2</v>
      </c>
      <c r="H207" s="39" t="s">
        <v>101</v>
      </c>
      <c r="I207" s="39" t="s">
        <v>102</v>
      </c>
      <c r="J207" s="41">
        <v>2500</v>
      </c>
      <c r="K207" s="42">
        <v>20.5</v>
      </c>
      <c r="L207" s="43"/>
      <c r="M207" s="43">
        <f>L207*K207</f>
        <v>0</v>
      </c>
      <c r="N207" s="35">
        <v>4690368035170</v>
      </c>
    </row>
    <row r="208" spans="1:14" ht="36" customHeight="1" outlineLevel="3" x14ac:dyDescent="0.2">
      <c r="A208" s="55" t="s">
        <v>330</v>
      </c>
      <c r="B208" s="47" t="str">
        <f>HYPERLINK("http://www.sedek.ru/upload/iblock/896/bazilik_azhur_purpurnyy.jpg","фото")</f>
        <v>фото</v>
      </c>
      <c r="C208" s="48" t="s">
        <v>266</v>
      </c>
      <c r="D208" s="48"/>
      <c r="E208" s="49" t="s">
        <v>263</v>
      </c>
      <c r="F208" s="49" t="s">
        <v>331</v>
      </c>
      <c r="G208" s="56">
        <v>0.2</v>
      </c>
      <c r="H208" s="49" t="s">
        <v>101</v>
      </c>
      <c r="I208" s="49" t="s">
        <v>102</v>
      </c>
      <c r="J208" s="51">
        <v>2500</v>
      </c>
      <c r="K208" s="52">
        <v>19.5</v>
      </c>
      <c r="L208" s="53"/>
      <c r="M208" s="53">
        <f>L208*K208</f>
        <v>0</v>
      </c>
      <c r="N208" s="35">
        <v>4690368035187</v>
      </c>
    </row>
    <row r="209" spans="1:14" ht="36" customHeight="1" outlineLevel="3" x14ac:dyDescent="0.2">
      <c r="A209" s="45">
        <v>14390</v>
      </c>
      <c r="B209" s="37" t="str">
        <f>HYPERLINK("http://sedek.ru/upload/iblock/724/bazilik_ararat.jpg","фото")</f>
        <v>фото</v>
      </c>
      <c r="C209" s="38"/>
      <c r="D209" s="38"/>
      <c r="E209" s="39"/>
      <c r="F209" s="39" t="s">
        <v>332</v>
      </c>
      <c r="G209" s="44">
        <v>0.2</v>
      </c>
      <c r="H209" s="39" t="s">
        <v>101</v>
      </c>
      <c r="I209" s="39" t="s">
        <v>102</v>
      </c>
      <c r="J209" s="41">
        <v>4000</v>
      </c>
      <c r="K209" s="42">
        <v>16.399999999999999</v>
      </c>
      <c r="L209" s="43"/>
      <c r="M209" s="43">
        <f>L209*K209</f>
        <v>0</v>
      </c>
      <c r="N209" s="35">
        <v>4690368015134</v>
      </c>
    </row>
    <row r="210" spans="1:14" ht="36" customHeight="1" outlineLevel="3" x14ac:dyDescent="0.2">
      <c r="A210" s="45">
        <v>14390</v>
      </c>
      <c r="B210" s="37" t="str">
        <f>HYPERLINK("http://sedek.ru/upload/iblock/724/bazilik_ararat.jpg","фото")</f>
        <v>фото</v>
      </c>
      <c r="C210" s="38"/>
      <c r="D210" s="38"/>
      <c r="E210" s="39"/>
      <c r="F210" s="39" t="s">
        <v>333</v>
      </c>
      <c r="G210" s="44">
        <v>0.2</v>
      </c>
      <c r="H210" s="39" t="s">
        <v>101</v>
      </c>
      <c r="I210" s="39" t="s">
        <v>287</v>
      </c>
      <c r="J210" s="41">
        <v>4000</v>
      </c>
      <c r="K210" s="42">
        <v>6.5</v>
      </c>
      <c r="L210" s="43"/>
      <c r="M210" s="43">
        <f>L210*K210</f>
        <v>0</v>
      </c>
      <c r="N210" s="35">
        <v>4690368017084</v>
      </c>
    </row>
    <row r="211" spans="1:14" ht="36" customHeight="1" outlineLevel="3" x14ac:dyDescent="0.2">
      <c r="A211" s="45">
        <v>15175</v>
      </c>
      <c r="B211" s="37" t="str">
        <f>HYPERLINK("http://www.sedek.ru/upload/iblock/e06/bazilik_aromat_vanili.jpg","фото")</f>
        <v>фото</v>
      </c>
      <c r="C211" s="38"/>
      <c r="D211" s="38"/>
      <c r="E211" s="39"/>
      <c r="F211" s="39" t="s">
        <v>334</v>
      </c>
      <c r="G211" s="44">
        <v>0.1</v>
      </c>
      <c r="H211" s="39" t="s">
        <v>101</v>
      </c>
      <c r="I211" s="39" t="s">
        <v>102</v>
      </c>
      <c r="J211" s="41">
        <v>4000</v>
      </c>
      <c r="K211" s="42">
        <v>19.899999999999999</v>
      </c>
      <c r="L211" s="43"/>
      <c r="M211" s="43">
        <f>L211*K211</f>
        <v>0</v>
      </c>
      <c r="N211" s="35">
        <v>4690368009195</v>
      </c>
    </row>
    <row r="212" spans="1:14" ht="36" customHeight="1" outlineLevel="3" x14ac:dyDescent="0.2">
      <c r="A212" s="45">
        <v>15072</v>
      </c>
      <c r="B212" s="37" t="str">
        <f>HYPERLINK("http://sedek.ru/upload/iblock/124/bazilik_aromat_limona_dlya_kulinarii.jpg","фото")</f>
        <v>фото</v>
      </c>
      <c r="C212" s="38"/>
      <c r="D212" s="38"/>
      <c r="E212" s="39"/>
      <c r="F212" s="39" t="s">
        <v>335</v>
      </c>
      <c r="G212" s="44">
        <v>0.2</v>
      </c>
      <c r="H212" s="39" t="s">
        <v>101</v>
      </c>
      <c r="I212" s="39" t="s">
        <v>102</v>
      </c>
      <c r="J212" s="41">
        <v>4000</v>
      </c>
      <c r="K212" s="42">
        <v>19.899999999999999</v>
      </c>
      <c r="L212" s="43"/>
      <c r="M212" s="43">
        <f>L212*K212</f>
        <v>0</v>
      </c>
      <c r="N212" s="35">
        <v>4690368014717</v>
      </c>
    </row>
    <row r="213" spans="1:14" ht="36" customHeight="1" outlineLevel="3" x14ac:dyDescent="0.2">
      <c r="A213" s="45">
        <v>15072</v>
      </c>
      <c r="B213" s="37" t="str">
        <f>HYPERLINK("http://sedek.ru/upload/iblock/124/bazilik_aromat_limona_dlya_kulinarii.jpg","фото")</f>
        <v>фото</v>
      </c>
      <c r="C213" s="38"/>
      <c r="D213" s="38"/>
      <c r="E213" s="39"/>
      <c r="F213" s="39" t="s">
        <v>336</v>
      </c>
      <c r="G213" s="44">
        <v>0.2</v>
      </c>
      <c r="H213" s="39" t="s">
        <v>101</v>
      </c>
      <c r="I213" s="39" t="s">
        <v>287</v>
      </c>
      <c r="J213" s="41">
        <v>4000</v>
      </c>
      <c r="K213" s="42">
        <v>8</v>
      </c>
      <c r="L213" s="43"/>
      <c r="M213" s="43">
        <f>L213*K213</f>
        <v>0</v>
      </c>
      <c r="N213" s="35">
        <v>4690368011921</v>
      </c>
    </row>
    <row r="214" spans="1:14" ht="36" customHeight="1" outlineLevel="3" x14ac:dyDescent="0.2">
      <c r="A214" s="45">
        <v>16341</v>
      </c>
      <c r="B214" s="37" t="str">
        <f>HYPERLINK("http://sedek.ru/upload/iblock/405/bazilik_aromat_limona_dlya_chaya_.jpg","фото")</f>
        <v>фото</v>
      </c>
      <c r="C214" s="38"/>
      <c r="D214" s="38"/>
      <c r="E214" s="39"/>
      <c r="F214" s="39" t="s">
        <v>337</v>
      </c>
      <c r="G214" s="44">
        <v>0.2</v>
      </c>
      <c r="H214" s="39" t="s">
        <v>101</v>
      </c>
      <c r="I214" s="39" t="s">
        <v>102</v>
      </c>
      <c r="J214" s="41">
        <v>4000</v>
      </c>
      <c r="K214" s="42">
        <v>19.899999999999999</v>
      </c>
      <c r="L214" s="43"/>
      <c r="M214" s="43">
        <f>L214*K214</f>
        <v>0</v>
      </c>
      <c r="N214" s="35">
        <v>4690368009201</v>
      </c>
    </row>
    <row r="215" spans="1:14" ht="36" customHeight="1" outlineLevel="3" x14ac:dyDescent="0.2">
      <c r="A215" s="45">
        <v>16341</v>
      </c>
      <c r="B215" s="37" t="str">
        <f>HYPERLINK("http://sedek.ru/upload/iblock/405/bazilik_aromat_limona_dlya_chaya_.jpg","фото")</f>
        <v>фото</v>
      </c>
      <c r="C215" s="38"/>
      <c r="D215" s="38"/>
      <c r="E215" s="39"/>
      <c r="F215" s="39" t="s">
        <v>338</v>
      </c>
      <c r="G215" s="44">
        <v>0.2</v>
      </c>
      <c r="H215" s="39" t="s">
        <v>101</v>
      </c>
      <c r="I215" s="39" t="s">
        <v>287</v>
      </c>
      <c r="J215" s="41">
        <v>4000</v>
      </c>
      <c r="K215" s="42">
        <v>8</v>
      </c>
      <c r="L215" s="43"/>
      <c r="M215" s="43">
        <f>L215*K215</f>
        <v>0</v>
      </c>
      <c r="N215" s="35">
        <v>4690368011938</v>
      </c>
    </row>
    <row r="216" spans="1:14" ht="36" customHeight="1" outlineLevel="3" x14ac:dyDescent="0.2">
      <c r="A216" s="55" t="s">
        <v>339</v>
      </c>
      <c r="B216" s="47" t="str">
        <f>HYPERLINK("http://www.sedek.ru/upload/iblock/de1/bazilik_aromat_limona.jpg","фото")</f>
        <v>фото</v>
      </c>
      <c r="C216" s="48"/>
      <c r="D216" s="48"/>
      <c r="E216" s="49"/>
      <c r="F216" s="49" t="s">
        <v>340</v>
      </c>
      <c r="G216" s="56">
        <v>0.5</v>
      </c>
      <c r="H216" s="49"/>
      <c r="I216" s="49" t="s">
        <v>102</v>
      </c>
      <c r="J216" s="51">
        <v>2500</v>
      </c>
      <c r="K216" s="52">
        <v>17.899999999999999</v>
      </c>
      <c r="L216" s="53"/>
      <c r="M216" s="53">
        <f>L216*K216</f>
        <v>0</v>
      </c>
      <c r="N216" s="35">
        <v>4607116266908</v>
      </c>
    </row>
    <row r="217" spans="1:14" ht="36" customHeight="1" outlineLevel="3" x14ac:dyDescent="0.2">
      <c r="A217" s="45">
        <v>15855</v>
      </c>
      <c r="B217" s="37" t="str">
        <f>HYPERLINK("http://sedek.ru/upload/iblock/901/bazilik_valya.jpg","фото")</f>
        <v>фото</v>
      </c>
      <c r="C217" s="38"/>
      <c r="D217" s="38"/>
      <c r="E217" s="39"/>
      <c r="F217" s="39" t="s">
        <v>341</v>
      </c>
      <c r="G217" s="44">
        <v>0.1</v>
      </c>
      <c r="H217" s="39" t="s">
        <v>101</v>
      </c>
      <c r="I217" s="39" t="s">
        <v>102</v>
      </c>
      <c r="J217" s="41">
        <v>4000</v>
      </c>
      <c r="K217" s="42">
        <v>19.100000000000001</v>
      </c>
      <c r="L217" s="43"/>
      <c r="M217" s="43">
        <f>L217*K217</f>
        <v>0</v>
      </c>
      <c r="N217" s="35">
        <v>4690368009218</v>
      </c>
    </row>
    <row r="218" spans="1:14" ht="36" customHeight="1" outlineLevel="3" x14ac:dyDescent="0.2">
      <c r="A218" s="45">
        <v>15323</v>
      </c>
      <c r="B218" s="37" t="str">
        <f>HYPERLINK("http://sedek.ru/upload/iblock/61b/bazilik_vdokhnovenie.jpg","фото")</f>
        <v>фото</v>
      </c>
      <c r="C218" s="38"/>
      <c r="D218" s="38"/>
      <c r="E218" s="39"/>
      <c r="F218" s="39" t="s">
        <v>342</v>
      </c>
      <c r="G218" s="44">
        <v>0.1</v>
      </c>
      <c r="H218" s="39" t="s">
        <v>101</v>
      </c>
      <c r="I218" s="39" t="s">
        <v>102</v>
      </c>
      <c r="J218" s="41">
        <v>4000</v>
      </c>
      <c r="K218" s="42">
        <v>19.899999999999999</v>
      </c>
      <c r="L218" s="43"/>
      <c r="M218" s="43">
        <f>L218*K218</f>
        <v>0</v>
      </c>
      <c r="N218" s="35">
        <v>4690368009225</v>
      </c>
    </row>
    <row r="219" spans="1:14" ht="36" customHeight="1" outlineLevel="3" x14ac:dyDescent="0.2">
      <c r="A219" s="45">
        <v>16042</v>
      </c>
      <c r="B219" s="37" t="str">
        <f>HYPERLINK("http://sedek.ru/upload/iblock/841/bazilik_vesennee_nastroenie.jpg","фото")</f>
        <v>фото</v>
      </c>
      <c r="C219" s="38"/>
      <c r="D219" s="38"/>
      <c r="E219" s="39"/>
      <c r="F219" s="39" t="s">
        <v>343</v>
      </c>
      <c r="G219" s="44">
        <v>0.2</v>
      </c>
      <c r="H219" s="39" t="s">
        <v>101</v>
      </c>
      <c r="I219" s="39" t="s">
        <v>102</v>
      </c>
      <c r="J219" s="41">
        <v>4000</v>
      </c>
      <c r="K219" s="42">
        <v>19.899999999999999</v>
      </c>
      <c r="L219" s="43"/>
      <c r="M219" s="43">
        <f>L219*K219</f>
        <v>0</v>
      </c>
      <c r="N219" s="35">
        <v>4690368016452</v>
      </c>
    </row>
    <row r="220" spans="1:14" ht="36" customHeight="1" outlineLevel="3" x14ac:dyDescent="0.2">
      <c r="A220" s="45">
        <v>16042</v>
      </c>
      <c r="B220" s="37" t="str">
        <f>HYPERLINK("http://sedek.ru/upload/iblock/841/bazilik_vesennee_nastroenie.jpg","фото")</f>
        <v>фото</v>
      </c>
      <c r="C220" s="38"/>
      <c r="D220" s="38"/>
      <c r="E220" s="39"/>
      <c r="F220" s="39" t="s">
        <v>344</v>
      </c>
      <c r="G220" s="44">
        <v>0.2</v>
      </c>
      <c r="H220" s="39" t="s">
        <v>101</v>
      </c>
      <c r="I220" s="39" t="s">
        <v>287</v>
      </c>
      <c r="J220" s="41">
        <v>4000</v>
      </c>
      <c r="K220" s="42">
        <v>7.3</v>
      </c>
      <c r="L220" s="43"/>
      <c r="M220" s="43">
        <f>L220*K220</f>
        <v>0</v>
      </c>
      <c r="N220" s="35">
        <v>4690368008396</v>
      </c>
    </row>
    <row r="221" spans="1:14" ht="36" customHeight="1" outlineLevel="3" x14ac:dyDescent="0.2">
      <c r="A221" s="45">
        <v>14215</v>
      </c>
      <c r="B221" s="37" t="str">
        <f>HYPERLINK("http://sedek.ru/upload/iblock/eba/bazilik_gvozdichnyy.jpg","фото")</f>
        <v>фото</v>
      </c>
      <c r="C221" s="38"/>
      <c r="D221" s="38"/>
      <c r="E221" s="39"/>
      <c r="F221" s="39" t="s">
        <v>345</v>
      </c>
      <c r="G221" s="44">
        <v>0.1</v>
      </c>
      <c r="H221" s="39" t="s">
        <v>101</v>
      </c>
      <c r="I221" s="39" t="s">
        <v>102</v>
      </c>
      <c r="J221" s="41">
        <v>4000</v>
      </c>
      <c r="K221" s="42">
        <v>16.899999999999999</v>
      </c>
      <c r="L221" s="43"/>
      <c r="M221" s="43">
        <f>L221*K221</f>
        <v>0</v>
      </c>
      <c r="N221" s="35">
        <v>4690368015318</v>
      </c>
    </row>
    <row r="222" spans="1:14" ht="48" customHeight="1" outlineLevel="3" x14ac:dyDescent="0.2">
      <c r="A222" s="45">
        <v>15406</v>
      </c>
      <c r="B222" s="37" t="str">
        <f>HYPERLINK("http://sedek.ru/upload/iblock/c91/bazilik_gvozdichnyy_aromat.jpg","фото")</f>
        <v>фото</v>
      </c>
      <c r="C222" s="38"/>
      <c r="D222" s="38"/>
      <c r="E222" s="39"/>
      <c r="F222" s="39" t="s">
        <v>346</v>
      </c>
      <c r="G222" s="44">
        <v>0.1</v>
      </c>
      <c r="H222" s="39" t="s">
        <v>101</v>
      </c>
      <c r="I222" s="39" t="s">
        <v>102</v>
      </c>
      <c r="J222" s="41">
        <v>4000</v>
      </c>
      <c r="K222" s="42">
        <v>18.8</v>
      </c>
      <c r="L222" s="43"/>
      <c r="M222" s="43">
        <f>L222*K222</f>
        <v>0</v>
      </c>
      <c r="N222" s="35">
        <v>4607149401673</v>
      </c>
    </row>
    <row r="223" spans="1:14" ht="48" customHeight="1" outlineLevel="3" x14ac:dyDescent="0.2">
      <c r="A223" s="45">
        <v>15406</v>
      </c>
      <c r="B223" s="37" t="str">
        <f>HYPERLINK("http://sedek.ru/upload/iblock/c91/bazilik_gvozdichnyy_aromat.jpg","фото")</f>
        <v>фото</v>
      </c>
      <c r="C223" s="38"/>
      <c r="D223" s="38"/>
      <c r="E223" s="39"/>
      <c r="F223" s="39" t="s">
        <v>347</v>
      </c>
      <c r="G223" s="44">
        <v>0.1</v>
      </c>
      <c r="H223" s="39" t="s">
        <v>101</v>
      </c>
      <c r="I223" s="39" t="s">
        <v>287</v>
      </c>
      <c r="J223" s="41">
        <v>4000</v>
      </c>
      <c r="K223" s="42">
        <v>8</v>
      </c>
      <c r="L223" s="43"/>
      <c r="M223" s="43">
        <f>L223*K223</f>
        <v>0</v>
      </c>
      <c r="N223" s="35">
        <v>4607149402571</v>
      </c>
    </row>
    <row r="224" spans="1:14" ht="48" customHeight="1" outlineLevel="3" x14ac:dyDescent="0.2">
      <c r="A224" s="45">
        <v>15212</v>
      </c>
      <c r="B224" s="37" t="str">
        <f>HYPERLINK("http://sedek.ru/upload/iblock/13a/bazilik_divnyy_denyek.jpg","фото")</f>
        <v>фото</v>
      </c>
      <c r="C224" s="38"/>
      <c r="D224" s="38"/>
      <c r="E224" s="39"/>
      <c r="F224" s="39" t="s">
        <v>348</v>
      </c>
      <c r="G224" s="44">
        <v>0.1</v>
      </c>
      <c r="H224" s="39" t="s">
        <v>101</v>
      </c>
      <c r="I224" s="39" t="s">
        <v>102</v>
      </c>
      <c r="J224" s="41">
        <v>4000</v>
      </c>
      <c r="K224" s="42">
        <v>22.7</v>
      </c>
      <c r="L224" s="43"/>
      <c r="M224" s="43">
        <f>L224*K224</f>
        <v>0</v>
      </c>
      <c r="N224" s="35">
        <v>4690368011051</v>
      </c>
    </row>
    <row r="225" spans="1:14" ht="36" customHeight="1" outlineLevel="3" x14ac:dyDescent="0.2">
      <c r="A225" s="45">
        <v>15822</v>
      </c>
      <c r="B225" s="37" t="str">
        <f>HYPERLINK("http://sedek.ru/upload/iblock/66d/bazilik_dlya_spagetti.jpg","фото")</f>
        <v>фото</v>
      </c>
      <c r="C225" s="38"/>
      <c r="D225" s="38"/>
      <c r="E225" s="39"/>
      <c r="F225" s="39" t="s">
        <v>349</v>
      </c>
      <c r="G225" s="44">
        <v>0.2</v>
      </c>
      <c r="H225" s="39" t="s">
        <v>101</v>
      </c>
      <c r="I225" s="39" t="s">
        <v>102</v>
      </c>
      <c r="J225" s="41">
        <v>4000</v>
      </c>
      <c r="K225" s="42">
        <v>20.5</v>
      </c>
      <c r="L225" s="43"/>
      <c r="M225" s="43">
        <f>L225*K225</f>
        <v>0</v>
      </c>
      <c r="N225" s="35">
        <v>4690368009263</v>
      </c>
    </row>
    <row r="226" spans="1:14" ht="36" customHeight="1" outlineLevel="3" x14ac:dyDescent="0.2">
      <c r="A226" s="45">
        <v>15822</v>
      </c>
      <c r="B226" s="37" t="str">
        <f>HYPERLINK("http://sedek.ru/upload/iblock/66d/bazilik_dlya_spagetti.jpg","фото")</f>
        <v>фото</v>
      </c>
      <c r="C226" s="38"/>
      <c r="D226" s="38"/>
      <c r="E226" s="39"/>
      <c r="F226" s="39" t="s">
        <v>350</v>
      </c>
      <c r="G226" s="44">
        <v>0.2</v>
      </c>
      <c r="H226" s="39" t="s">
        <v>101</v>
      </c>
      <c r="I226" s="39" t="s">
        <v>287</v>
      </c>
      <c r="J226" s="41">
        <v>4000</v>
      </c>
      <c r="K226" s="42">
        <v>7.3</v>
      </c>
      <c r="L226" s="43"/>
      <c r="M226" s="43">
        <f>L226*K226</f>
        <v>0</v>
      </c>
      <c r="N226" s="35">
        <v>4690368011952</v>
      </c>
    </row>
    <row r="227" spans="1:14" ht="36" customHeight="1" outlineLevel="3" x14ac:dyDescent="0.2">
      <c r="A227" s="45">
        <v>15776</v>
      </c>
      <c r="B227" s="37" t="str">
        <f>HYPERLINK("http://sedek.ru/upload/iblock/c0c/bazilik_dushistyy_krasavchik.jpg","фото")</f>
        <v>фото</v>
      </c>
      <c r="C227" s="38"/>
      <c r="D227" s="38"/>
      <c r="E227" s="39"/>
      <c r="F227" s="39" t="s">
        <v>351</v>
      </c>
      <c r="G227" s="44">
        <v>0.1</v>
      </c>
      <c r="H227" s="39" t="s">
        <v>101</v>
      </c>
      <c r="I227" s="39" t="s">
        <v>102</v>
      </c>
      <c r="J227" s="41">
        <v>4000</v>
      </c>
      <c r="K227" s="42">
        <v>19.899999999999999</v>
      </c>
      <c r="L227" s="43"/>
      <c r="M227" s="43">
        <f>L227*K227</f>
        <v>0</v>
      </c>
      <c r="N227" s="35">
        <v>4690368009249</v>
      </c>
    </row>
    <row r="228" spans="1:14" ht="36" customHeight="1" outlineLevel="3" x14ac:dyDescent="0.2">
      <c r="A228" s="45">
        <v>13804</v>
      </c>
      <c r="B228" s="37" t="str">
        <f>HYPERLINK("http://sedek.ru/upload/iblock/9d9/bazilik_zastolnyy.jpg","фото")</f>
        <v>фото</v>
      </c>
      <c r="C228" s="38"/>
      <c r="D228" s="38"/>
      <c r="E228" s="39"/>
      <c r="F228" s="39" t="s">
        <v>352</v>
      </c>
      <c r="G228" s="44">
        <v>0.2</v>
      </c>
      <c r="H228" s="39" t="s">
        <v>101</v>
      </c>
      <c r="I228" s="39" t="s">
        <v>102</v>
      </c>
      <c r="J228" s="41">
        <v>2500</v>
      </c>
      <c r="K228" s="42">
        <v>19.899999999999999</v>
      </c>
      <c r="L228" s="43"/>
      <c r="M228" s="43">
        <f>L228*K228</f>
        <v>0</v>
      </c>
      <c r="N228" s="35">
        <v>4690368008730</v>
      </c>
    </row>
    <row r="229" spans="1:14" ht="36" customHeight="1" outlineLevel="3" x14ac:dyDescent="0.2">
      <c r="A229" s="45">
        <v>13804</v>
      </c>
      <c r="B229" s="37" t="str">
        <f>HYPERLINK("http://sedek.ru/upload/iblock/9d9/bazilik_zastolnyy.jpg","фото")</f>
        <v>фото</v>
      </c>
      <c r="C229" s="38"/>
      <c r="D229" s="38"/>
      <c r="E229" s="39"/>
      <c r="F229" s="39" t="s">
        <v>353</v>
      </c>
      <c r="G229" s="44">
        <v>0.2</v>
      </c>
      <c r="H229" s="39" t="s">
        <v>101</v>
      </c>
      <c r="I229" s="39" t="s">
        <v>287</v>
      </c>
      <c r="J229" s="41">
        <v>2500</v>
      </c>
      <c r="K229" s="42">
        <v>6.8</v>
      </c>
      <c r="L229" s="43"/>
      <c r="M229" s="43">
        <f>L229*K229</f>
        <v>0</v>
      </c>
      <c r="N229" s="35">
        <v>4690368011945</v>
      </c>
    </row>
    <row r="230" spans="1:14" ht="36" customHeight="1" outlineLevel="3" x14ac:dyDescent="0.2">
      <c r="A230" s="45">
        <v>14676</v>
      </c>
      <c r="B230" s="37" t="str">
        <f>HYPERLINK("http://sedek.ru/upload/iblock/578/bazilik_karamelnyy.jpg","фото")</f>
        <v>фото</v>
      </c>
      <c r="C230" s="38"/>
      <c r="D230" s="38"/>
      <c r="E230" s="39"/>
      <c r="F230" s="39" t="s">
        <v>354</v>
      </c>
      <c r="G230" s="44">
        <v>0.2</v>
      </c>
      <c r="H230" s="39" t="s">
        <v>101</v>
      </c>
      <c r="I230" s="39" t="s">
        <v>102</v>
      </c>
      <c r="J230" s="41">
        <v>4000</v>
      </c>
      <c r="K230" s="42">
        <v>19.899999999999999</v>
      </c>
      <c r="L230" s="43"/>
      <c r="M230" s="43">
        <f>L230*K230</f>
        <v>0</v>
      </c>
      <c r="N230" s="35">
        <v>4690368015349</v>
      </c>
    </row>
    <row r="231" spans="1:14" ht="36" customHeight="1" outlineLevel="3" x14ac:dyDescent="0.2">
      <c r="A231" s="45">
        <v>14676</v>
      </c>
      <c r="B231" s="37" t="str">
        <f>HYPERLINK("http://sedek.ru/upload/iblock/578/bazilik_karamelnyy.jpg","фото")</f>
        <v>фото</v>
      </c>
      <c r="C231" s="38"/>
      <c r="D231" s="38"/>
      <c r="E231" s="39"/>
      <c r="F231" s="39" t="s">
        <v>355</v>
      </c>
      <c r="G231" s="44">
        <v>0.2</v>
      </c>
      <c r="H231" s="39" t="s">
        <v>101</v>
      </c>
      <c r="I231" s="39" t="s">
        <v>287</v>
      </c>
      <c r="J231" s="41">
        <v>4000</v>
      </c>
      <c r="K231" s="42">
        <v>7.3</v>
      </c>
      <c r="L231" s="43"/>
      <c r="M231" s="43">
        <f>L231*K231</f>
        <v>0</v>
      </c>
      <c r="N231" s="35">
        <v>4690368017091</v>
      </c>
    </row>
    <row r="232" spans="1:14" ht="36" customHeight="1" outlineLevel="3" x14ac:dyDescent="0.2">
      <c r="A232" s="45">
        <v>14103</v>
      </c>
      <c r="B232" s="37" t="str">
        <f>HYPERLINK("http://sedek.ru/upload/iblock/cd7/bazilik_krasivaya_skazka.jpg","фото")</f>
        <v>фото</v>
      </c>
      <c r="C232" s="38"/>
      <c r="D232" s="38"/>
      <c r="E232" s="39"/>
      <c r="F232" s="39" t="s">
        <v>356</v>
      </c>
      <c r="G232" s="44">
        <v>0.2</v>
      </c>
      <c r="H232" s="39" t="s">
        <v>101</v>
      </c>
      <c r="I232" s="39" t="s">
        <v>102</v>
      </c>
      <c r="J232" s="41">
        <v>4000</v>
      </c>
      <c r="K232" s="42">
        <v>19.899999999999999</v>
      </c>
      <c r="L232" s="43"/>
      <c r="M232" s="43">
        <f>L232*K232</f>
        <v>0</v>
      </c>
      <c r="N232" s="35">
        <v>4690368004244</v>
      </c>
    </row>
    <row r="233" spans="1:14" ht="36" customHeight="1" outlineLevel="3" x14ac:dyDescent="0.2">
      <c r="A233" s="45">
        <v>14103</v>
      </c>
      <c r="B233" s="37" t="str">
        <f>HYPERLINK("http://sedek.ru/upload/iblock/cd7/bazilik_krasivaya_skazka.jpg","фото")</f>
        <v>фото</v>
      </c>
      <c r="C233" s="38"/>
      <c r="D233" s="38"/>
      <c r="E233" s="39"/>
      <c r="F233" s="39" t="s">
        <v>357</v>
      </c>
      <c r="G233" s="44">
        <v>0.2</v>
      </c>
      <c r="H233" s="39" t="s">
        <v>101</v>
      </c>
      <c r="I233" s="39" t="s">
        <v>287</v>
      </c>
      <c r="J233" s="41">
        <v>4000</v>
      </c>
      <c r="K233" s="42">
        <v>8.3000000000000007</v>
      </c>
      <c r="L233" s="43"/>
      <c r="M233" s="43">
        <f>L233*K233</f>
        <v>0</v>
      </c>
      <c r="N233" s="35">
        <v>4690368008402</v>
      </c>
    </row>
    <row r="234" spans="1:14" ht="36" customHeight="1" outlineLevel="3" x14ac:dyDescent="0.2">
      <c r="A234" s="45">
        <v>14752</v>
      </c>
      <c r="B234" s="37" t="str">
        <f>HYPERLINK("http://sedek.ru/upload/iblock/a68/bazilik_purpurnyy.jpg","фото")</f>
        <v>фото</v>
      </c>
      <c r="C234" s="38"/>
      <c r="D234" s="38"/>
      <c r="E234" s="39"/>
      <c r="F234" s="39" t="s">
        <v>358</v>
      </c>
      <c r="G234" s="44">
        <v>0.2</v>
      </c>
      <c r="H234" s="39" t="s">
        <v>101</v>
      </c>
      <c r="I234" s="39" t="s">
        <v>102</v>
      </c>
      <c r="J234" s="41">
        <v>4000</v>
      </c>
      <c r="K234" s="42">
        <v>19.899999999999999</v>
      </c>
      <c r="L234" s="43"/>
      <c r="M234" s="43">
        <f>L234*K234</f>
        <v>0</v>
      </c>
      <c r="N234" s="35">
        <v>4607116266892</v>
      </c>
    </row>
    <row r="235" spans="1:14" ht="36" customHeight="1" outlineLevel="3" x14ac:dyDescent="0.2">
      <c r="A235" s="45">
        <v>14752</v>
      </c>
      <c r="B235" s="37" t="str">
        <f>HYPERLINK("http://sedek.ru/upload/iblock/a68/bazilik_purpurnyy.jpg","фото")</f>
        <v>фото</v>
      </c>
      <c r="C235" s="38"/>
      <c r="D235" s="38"/>
      <c r="E235" s="39"/>
      <c r="F235" s="39" t="s">
        <v>359</v>
      </c>
      <c r="G235" s="44">
        <v>0.2</v>
      </c>
      <c r="H235" s="39" t="s">
        <v>101</v>
      </c>
      <c r="I235" s="39" t="s">
        <v>287</v>
      </c>
      <c r="J235" s="41">
        <v>4000</v>
      </c>
      <c r="K235" s="42">
        <v>8.1</v>
      </c>
      <c r="L235" s="43"/>
      <c r="M235" s="43">
        <f>L235*K235</f>
        <v>0</v>
      </c>
      <c r="N235" s="35">
        <v>4607149402595</v>
      </c>
    </row>
    <row r="236" spans="1:14" ht="36" customHeight="1" outlineLevel="3" x14ac:dyDescent="0.2">
      <c r="A236" s="45">
        <v>15944</v>
      </c>
      <c r="B236" s="37" t="str">
        <f>HYPERLINK("http://sedek.ru/upload/iblock/8d3/bazilik_sanka.jpg","фото")</f>
        <v>фото</v>
      </c>
      <c r="C236" s="38"/>
      <c r="D236" s="38"/>
      <c r="E236" s="39"/>
      <c r="F236" s="39" t="s">
        <v>360</v>
      </c>
      <c r="G236" s="44">
        <v>0.2</v>
      </c>
      <c r="H236" s="39" t="s">
        <v>101</v>
      </c>
      <c r="I236" s="39" t="s">
        <v>102</v>
      </c>
      <c r="J236" s="41">
        <v>4000</v>
      </c>
      <c r="K236" s="42">
        <v>19.899999999999999</v>
      </c>
      <c r="L236" s="43"/>
      <c r="M236" s="43">
        <f>L236*K236</f>
        <v>0</v>
      </c>
      <c r="N236" s="35">
        <v>4690368009256</v>
      </c>
    </row>
    <row r="237" spans="1:14" ht="48" customHeight="1" outlineLevel="3" x14ac:dyDescent="0.2">
      <c r="A237" s="45">
        <v>16258</v>
      </c>
      <c r="B237" s="37" t="str">
        <f>HYPERLINK("http://sedek.ru/upload/iblock/c71/bazilik_smes_luchshikh_sortov.jpg","фото")</f>
        <v>фото</v>
      </c>
      <c r="C237" s="38"/>
      <c r="D237" s="38"/>
      <c r="E237" s="39"/>
      <c r="F237" s="39" t="s">
        <v>361</v>
      </c>
      <c r="G237" s="44">
        <v>0.5</v>
      </c>
      <c r="H237" s="39" t="s">
        <v>101</v>
      </c>
      <c r="I237" s="39" t="s">
        <v>102</v>
      </c>
      <c r="J237" s="41">
        <v>2500</v>
      </c>
      <c r="K237" s="42">
        <v>18.8</v>
      </c>
      <c r="L237" s="43"/>
      <c r="M237" s="43">
        <f>L237*K237</f>
        <v>0</v>
      </c>
      <c r="N237" s="35">
        <v>4690368007450</v>
      </c>
    </row>
    <row r="238" spans="1:14" ht="48" customHeight="1" outlineLevel="3" x14ac:dyDescent="0.2">
      <c r="A238" s="45">
        <v>16258</v>
      </c>
      <c r="B238" s="37" t="str">
        <f>HYPERLINK("http://sedek.ru/upload/iblock/c71/bazilik_smes_luchshikh_sortov.jpg","фото")</f>
        <v>фото</v>
      </c>
      <c r="C238" s="38"/>
      <c r="D238" s="38"/>
      <c r="E238" s="39"/>
      <c r="F238" s="39" t="s">
        <v>362</v>
      </c>
      <c r="G238" s="44">
        <v>0.5</v>
      </c>
      <c r="H238" s="39" t="s">
        <v>101</v>
      </c>
      <c r="I238" s="39" t="s">
        <v>287</v>
      </c>
      <c r="J238" s="41">
        <v>2500</v>
      </c>
      <c r="K238" s="42">
        <v>6.5</v>
      </c>
      <c r="L238" s="43"/>
      <c r="M238" s="43">
        <f>L238*K238</f>
        <v>0</v>
      </c>
      <c r="N238" s="35">
        <v>4690368019460</v>
      </c>
    </row>
    <row r="239" spans="1:14" ht="36" customHeight="1" outlineLevel="3" x14ac:dyDescent="0.2">
      <c r="A239" s="46">
        <v>15526</v>
      </c>
      <c r="B239" s="47" t="str">
        <f>HYPERLINK("http://www.sedek.ru/upload/iblock/c7f/bazilik_smuglyanka.jpg","фото")</f>
        <v>фото</v>
      </c>
      <c r="C239" s="48"/>
      <c r="D239" s="48"/>
      <c r="E239" s="49"/>
      <c r="F239" s="49" t="s">
        <v>363</v>
      </c>
      <c r="G239" s="56">
        <v>0.1</v>
      </c>
      <c r="H239" s="49" t="s">
        <v>101</v>
      </c>
      <c r="I239" s="49" t="s">
        <v>102</v>
      </c>
      <c r="J239" s="51">
        <v>4000</v>
      </c>
      <c r="K239" s="52">
        <v>18.899999999999999</v>
      </c>
      <c r="L239" s="53"/>
      <c r="M239" s="53">
        <f>L239*K239</f>
        <v>0</v>
      </c>
      <c r="N239" s="35">
        <v>4690368007474</v>
      </c>
    </row>
    <row r="240" spans="1:14" ht="36" customHeight="1" outlineLevel="3" x14ac:dyDescent="0.2">
      <c r="A240" s="71">
        <v>15526</v>
      </c>
      <c r="B240" s="72" t="str">
        <f>HYPERLINK("http://www.sedek.ru/upload/iblock/c7f/bazilik_smuglyanka.jpg","фото")</f>
        <v>фото</v>
      </c>
      <c r="C240" s="73"/>
      <c r="D240" s="73"/>
      <c r="E240" s="74"/>
      <c r="F240" s="74" t="s">
        <v>364</v>
      </c>
      <c r="G240" s="80">
        <v>0.1</v>
      </c>
      <c r="H240" s="74" t="s">
        <v>101</v>
      </c>
      <c r="I240" s="74" t="s">
        <v>287</v>
      </c>
      <c r="J240" s="76">
        <v>4000</v>
      </c>
      <c r="K240" s="77">
        <v>8</v>
      </c>
      <c r="L240" s="78"/>
      <c r="M240" s="78">
        <f>L240*K240</f>
        <v>0</v>
      </c>
      <c r="N240" s="79">
        <v>4690368008419</v>
      </c>
    </row>
    <row r="241" spans="1:14" ht="36" customHeight="1" outlineLevel="3" x14ac:dyDescent="0.2">
      <c r="A241" s="71">
        <v>15526</v>
      </c>
      <c r="B241" s="72" t="str">
        <f>HYPERLINK("http://www.sedek.ru/upload/iblock/c7f/bazilik_smuglyanka.jpg","фото")</f>
        <v>фото</v>
      </c>
      <c r="C241" s="73"/>
      <c r="D241" s="73"/>
      <c r="E241" s="74"/>
      <c r="F241" s="74" t="s">
        <v>365</v>
      </c>
      <c r="G241" s="80">
        <v>0.2</v>
      </c>
      <c r="H241" s="74" t="s">
        <v>101</v>
      </c>
      <c r="I241" s="74" t="s">
        <v>287</v>
      </c>
      <c r="J241" s="76">
        <v>4000</v>
      </c>
      <c r="K241" s="77">
        <v>8</v>
      </c>
      <c r="L241" s="78"/>
      <c r="M241" s="78">
        <f>L241*K241</f>
        <v>0</v>
      </c>
      <c r="N241" s="79">
        <v>4690368008419</v>
      </c>
    </row>
    <row r="242" spans="1:14" ht="36" customHeight="1" outlineLevel="3" x14ac:dyDescent="0.2">
      <c r="A242" s="45">
        <v>16110</v>
      </c>
      <c r="B242" s="37" t="str">
        <f>HYPERLINK("http://sedek.ru/upload/iblock/4d6/bazilik_aromatnyy_fioletovyy.jpg","фото")</f>
        <v>фото</v>
      </c>
      <c r="C242" s="38"/>
      <c r="D242" s="38"/>
      <c r="E242" s="39"/>
      <c r="F242" s="39" t="s">
        <v>366</v>
      </c>
      <c r="G242" s="44">
        <v>0.2</v>
      </c>
      <c r="H242" s="39" t="s">
        <v>101</v>
      </c>
      <c r="I242" s="39" t="s">
        <v>102</v>
      </c>
      <c r="J242" s="41">
        <v>4000</v>
      </c>
      <c r="K242" s="42">
        <v>16.899999999999999</v>
      </c>
      <c r="L242" s="43"/>
      <c r="M242" s="43">
        <f>L242*K242</f>
        <v>0</v>
      </c>
      <c r="N242" s="35">
        <v>4607015188752</v>
      </c>
    </row>
    <row r="243" spans="1:14" ht="36" customHeight="1" outlineLevel="3" x14ac:dyDescent="0.2">
      <c r="A243" s="45">
        <v>16110</v>
      </c>
      <c r="B243" s="37" t="str">
        <f>HYPERLINK("http://sedek.ru/upload/iblock/4d6/bazilik_aromatnyy_fioletovyy.jpg","фото")</f>
        <v>фото</v>
      </c>
      <c r="C243" s="38"/>
      <c r="D243" s="38"/>
      <c r="E243" s="39"/>
      <c r="F243" s="39" t="s">
        <v>367</v>
      </c>
      <c r="G243" s="44">
        <v>0.2</v>
      </c>
      <c r="H243" s="39" t="s">
        <v>101</v>
      </c>
      <c r="I243" s="39" t="s">
        <v>287</v>
      </c>
      <c r="J243" s="41">
        <v>4000</v>
      </c>
      <c r="K243" s="42">
        <v>6.5</v>
      </c>
      <c r="L243" s="43"/>
      <c r="M243" s="43">
        <f>L243*K243</f>
        <v>0</v>
      </c>
      <c r="N243" s="35">
        <v>4607149402908</v>
      </c>
    </row>
    <row r="244" spans="1:14" ht="36" customHeight="1" outlineLevel="3" x14ac:dyDescent="0.2">
      <c r="A244" s="55" t="s">
        <v>368</v>
      </c>
      <c r="B244" s="47" t="str">
        <f>HYPERLINK("http://sedek.ru/upload/iblock/4d6/bazilik_aromatnyy_fioletovyy.jpg","фото")</f>
        <v>фото</v>
      </c>
      <c r="C244" s="48"/>
      <c r="D244" s="48"/>
      <c r="E244" s="49"/>
      <c r="F244" s="49" t="s">
        <v>369</v>
      </c>
      <c r="G244" s="56">
        <v>0.2</v>
      </c>
      <c r="H244" s="49"/>
      <c r="I244" s="49" t="s">
        <v>102</v>
      </c>
      <c r="J244" s="51">
        <v>4000</v>
      </c>
      <c r="K244" s="52">
        <v>16</v>
      </c>
      <c r="L244" s="53"/>
      <c r="M244" s="53">
        <f>L244*K244</f>
        <v>0</v>
      </c>
      <c r="N244" s="35">
        <v>4607015188752</v>
      </c>
    </row>
    <row r="245" spans="1:14" ht="12" customHeight="1" outlineLevel="2" x14ac:dyDescent="0.2">
      <c r="A245" s="22"/>
      <c r="B245" s="23"/>
      <c r="C245" s="23"/>
      <c r="D245" s="23"/>
      <c r="E245" s="24"/>
      <c r="F245" s="24" t="s">
        <v>370</v>
      </c>
      <c r="G245" s="24"/>
      <c r="H245" s="24"/>
      <c r="I245" s="24"/>
      <c r="J245" s="24"/>
      <c r="K245" s="24"/>
      <c r="L245" s="24"/>
      <c r="M245" s="24"/>
      <c r="N245" s="25"/>
    </row>
    <row r="246" spans="1:14" ht="24" customHeight="1" outlineLevel="3" x14ac:dyDescent="0.2">
      <c r="A246" s="36" t="s">
        <v>371</v>
      </c>
      <c r="B246" s="37" t="str">
        <f>HYPERLINK("http://www.sedek.ru/upload/iblock/bb6/baklazhan_azhur_f1.jpg","фото")</f>
        <v>фото</v>
      </c>
      <c r="C246" s="38"/>
      <c r="D246" s="38"/>
      <c r="E246" s="39" t="s">
        <v>263</v>
      </c>
      <c r="F246" s="39" t="s">
        <v>372</v>
      </c>
      <c r="G246" s="44">
        <v>0.1</v>
      </c>
      <c r="H246" s="39" t="s">
        <v>101</v>
      </c>
      <c r="I246" s="39" t="s">
        <v>102</v>
      </c>
      <c r="J246" s="41">
        <v>5000</v>
      </c>
      <c r="K246" s="42">
        <v>31.9</v>
      </c>
      <c r="L246" s="43"/>
      <c r="M246" s="43">
        <f>L246*K246</f>
        <v>0</v>
      </c>
      <c r="N246" s="35">
        <v>4690368035194</v>
      </c>
    </row>
    <row r="247" spans="1:14" ht="24" customHeight="1" outlineLevel="3" x14ac:dyDescent="0.2">
      <c r="A247" s="45">
        <v>14608</v>
      </c>
      <c r="B247" s="37" t="str">
        <f>HYPERLINK("http://www.sedek.ru/upload/iblock/a29/baklazhan_almaz.jpg","фото")</f>
        <v>фото</v>
      </c>
      <c r="C247" s="38"/>
      <c r="D247" s="38"/>
      <c r="E247" s="39"/>
      <c r="F247" s="39" t="s">
        <v>373</v>
      </c>
      <c r="G247" s="44">
        <v>0.2</v>
      </c>
      <c r="H247" s="39" t="s">
        <v>101</v>
      </c>
      <c r="I247" s="39" t="s">
        <v>102</v>
      </c>
      <c r="J247" s="41">
        <v>4000</v>
      </c>
      <c r="K247" s="42">
        <v>15.6</v>
      </c>
      <c r="L247" s="43"/>
      <c r="M247" s="43">
        <f>L247*K247</f>
        <v>0</v>
      </c>
      <c r="N247" s="35">
        <v>4607015181128</v>
      </c>
    </row>
    <row r="248" spans="1:14" ht="24" customHeight="1" outlineLevel="3" x14ac:dyDescent="0.2">
      <c r="A248" s="45">
        <v>14608</v>
      </c>
      <c r="B248" s="37" t="str">
        <f>HYPERLINK("http://www.sedek.ru/upload/iblock/a29/baklazhan_almaz.jpg","фото")</f>
        <v>фото</v>
      </c>
      <c r="C248" s="38"/>
      <c r="D248" s="38"/>
      <c r="E248" s="39"/>
      <c r="F248" s="39" t="s">
        <v>374</v>
      </c>
      <c r="G248" s="44">
        <v>0.2</v>
      </c>
      <c r="H248" s="39" t="s">
        <v>101</v>
      </c>
      <c r="I248" s="39" t="s">
        <v>287</v>
      </c>
      <c r="J248" s="41">
        <v>4000</v>
      </c>
      <c r="K248" s="42">
        <v>6.5</v>
      </c>
      <c r="L248" s="43"/>
      <c r="M248" s="43">
        <f>L248*K248</f>
        <v>0</v>
      </c>
      <c r="N248" s="35">
        <v>4607149408603</v>
      </c>
    </row>
    <row r="249" spans="1:14" ht="24" customHeight="1" outlineLevel="3" x14ac:dyDescent="0.2">
      <c r="A249" s="45">
        <v>13846</v>
      </c>
      <c r="B249" s="37" t="str">
        <f>HYPERLINK("http://sedek.ru/upload/iblock/aaf/baklazhan_albatros.jpg","фото")</f>
        <v>фото</v>
      </c>
      <c r="C249" s="38"/>
      <c r="D249" s="38"/>
      <c r="E249" s="39"/>
      <c r="F249" s="39" t="s">
        <v>375</v>
      </c>
      <c r="G249" s="44">
        <v>0.2</v>
      </c>
      <c r="H249" s="39" t="s">
        <v>101</v>
      </c>
      <c r="I249" s="39" t="s">
        <v>102</v>
      </c>
      <c r="J249" s="41">
        <v>4000</v>
      </c>
      <c r="K249" s="42">
        <v>19.899999999999999</v>
      </c>
      <c r="L249" s="43"/>
      <c r="M249" s="43">
        <f>L249*K249</f>
        <v>0</v>
      </c>
      <c r="N249" s="35">
        <v>4607015181142</v>
      </c>
    </row>
    <row r="250" spans="1:14" ht="24" customHeight="1" outlineLevel="3" x14ac:dyDescent="0.2">
      <c r="A250" s="45">
        <v>13846</v>
      </c>
      <c r="B250" s="37" t="str">
        <f>HYPERLINK("http://sedek.ru/upload/iblock/aaf/baklazhan_albatros.jpg","фото")</f>
        <v>фото</v>
      </c>
      <c r="C250" s="38"/>
      <c r="D250" s="38"/>
      <c r="E250" s="39"/>
      <c r="F250" s="39" t="s">
        <v>376</v>
      </c>
      <c r="G250" s="44">
        <v>0.2</v>
      </c>
      <c r="H250" s="39" t="s">
        <v>101</v>
      </c>
      <c r="I250" s="39" t="s">
        <v>287</v>
      </c>
      <c r="J250" s="41">
        <v>4000</v>
      </c>
      <c r="K250" s="42">
        <v>6.8</v>
      </c>
      <c r="L250" s="43"/>
      <c r="M250" s="43">
        <f>L250*K250</f>
        <v>0</v>
      </c>
      <c r="N250" s="35">
        <v>4690368004862</v>
      </c>
    </row>
    <row r="251" spans="1:14" ht="24" customHeight="1" outlineLevel="3" x14ac:dyDescent="0.2">
      <c r="A251" s="45">
        <v>13727</v>
      </c>
      <c r="B251" s="37" t="str">
        <f>HYPERLINK("http://sedek.ru/upload/iblock/ab2/baklazhan_astrakom.jpg","фото")</f>
        <v>фото</v>
      </c>
      <c r="C251" s="38"/>
      <c r="D251" s="38"/>
      <c r="E251" s="39"/>
      <c r="F251" s="39" t="s">
        <v>377</v>
      </c>
      <c r="G251" s="44">
        <v>0.2</v>
      </c>
      <c r="H251" s="39" t="s">
        <v>101</v>
      </c>
      <c r="I251" s="39" t="s">
        <v>102</v>
      </c>
      <c r="J251" s="41">
        <v>4000</v>
      </c>
      <c r="K251" s="42">
        <v>19.399999999999999</v>
      </c>
      <c r="L251" s="43"/>
      <c r="M251" s="43">
        <f>L251*K251</f>
        <v>0</v>
      </c>
      <c r="N251" s="35">
        <v>4607015181166</v>
      </c>
    </row>
    <row r="252" spans="1:14" ht="24" customHeight="1" outlineLevel="3" x14ac:dyDescent="0.2">
      <c r="A252" s="45">
        <v>13727</v>
      </c>
      <c r="B252" s="37" t="str">
        <f>HYPERLINK("http://sedek.ru/upload/iblock/ab2/baklazhan_astrakom.jpg","фото")</f>
        <v>фото</v>
      </c>
      <c r="C252" s="38"/>
      <c r="D252" s="38"/>
      <c r="E252" s="39"/>
      <c r="F252" s="39" t="s">
        <v>378</v>
      </c>
      <c r="G252" s="44">
        <v>0.2</v>
      </c>
      <c r="H252" s="39" t="s">
        <v>101</v>
      </c>
      <c r="I252" s="39" t="s">
        <v>287</v>
      </c>
      <c r="J252" s="41">
        <v>4000</v>
      </c>
      <c r="K252" s="42">
        <v>6.8</v>
      </c>
      <c r="L252" s="43"/>
      <c r="M252" s="43">
        <f>L252*K252</f>
        <v>0</v>
      </c>
      <c r="N252" s="35">
        <v>4690368004879</v>
      </c>
    </row>
    <row r="253" spans="1:14" ht="24" customHeight="1" outlineLevel="3" x14ac:dyDescent="0.2">
      <c r="A253" s="45">
        <v>15725</v>
      </c>
      <c r="B253" s="37" t="str">
        <f>HYPERLINK("http://sedek.ru/upload/iblock/c47/baklazhan_banan.jpg","фото")</f>
        <v>фото</v>
      </c>
      <c r="C253" s="38"/>
      <c r="D253" s="38"/>
      <c r="E253" s="39"/>
      <c r="F253" s="39" t="s">
        <v>379</v>
      </c>
      <c r="G253" s="44">
        <v>0.2</v>
      </c>
      <c r="H253" s="39" t="s">
        <v>101</v>
      </c>
      <c r="I253" s="39" t="s">
        <v>102</v>
      </c>
      <c r="J253" s="41">
        <v>5000</v>
      </c>
      <c r="K253" s="42">
        <v>20.5</v>
      </c>
      <c r="L253" s="43"/>
      <c r="M253" s="43">
        <f>L253*K253</f>
        <v>0</v>
      </c>
      <c r="N253" s="35">
        <v>4607015181180</v>
      </c>
    </row>
    <row r="254" spans="1:14" ht="24" customHeight="1" outlineLevel="3" x14ac:dyDescent="0.2">
      <c r="A254" s="45">
        <v>15725</v>
      </c>
      <c r="B254" s="37" t="str">
        <f>HYPERLINK("http://sedek.ru/upload/iblock/c47/baklazhan_banan.jpg","фото")</f>
        <v>фото</v>
      </c>
      <c r="C254" s="38"/>
      <c r="D254" s="38"/>
      <c r="E254" s="39"/>
      <c r="F254" s="39" t="s">
        <v>380</v>
      </c>
      <c r="G254" s="44">
        <v>0.2</v>
      </c>
      <c r="H254" s="39" t="s">
        <v>101</v>
      </c>
      <c r="I254" s="39" t="s">
        <v>287</v>
      </c>
      <c r="J254" s="41">
        <v>5000</v>
      </c>
      <c r="K254" s="42">
        <v>6.8</v>
      </c>
      <c r="L254" s="43"/>
      <c r="M254" s="43">
        <f>L254*K254</f>
        <v>0</v>
      </c>
      <c r="N254" s="35">
        <v>4607149402069</v>
      </c>
    </row>
    <row r="255" spans="1:14" ht="24" customHeight="1" outlineLevel="3" x14ac:dyDescent="0.2">
      <c r="A255" s="45">
        <v>14687</v>
      </c>
      <c r="B255" s="37" t="str">
        <f>HYPERLINK("http://sedek.ru/upload/iblock/aae/baklazhan_belaya_noch.jpg","фото")</f>
        <v>фото</v>
      </c>
      <c r="C255" s="38"/>
      <c r="D255" s="38"/>
      <c r="E255" s="39"/>
      <c r="F255" s="39" t="s">
        <v>381</v>
      </c>
      <c r="G255" s="44">
        <v>0.2</v>
      </c>
      <c r="H255" s="39" t="s">
        <v>101</v>
      </c>
      <c r="I255" s="39" t="s">
        <v>102</v>
      </c>
      <c r="J255" s="41">
        <v>4000</v>
      </c>
      <c r="K255" s="42">
        <v>20.5</v>
      </c>
      <c r="L255" s="43"/>
      <c r="M255" s="43">
        <f>L255*K255</f>
        <v>0</v>
      </c>
      <c r="N255" s="35">
        <v>4607015181203</v>
      </c>
    </row>
    <row r="256" spans="1:14" ht="24" customHeight="1" outlineLevel="3" x14ac:dyDescent="0.2">
      <c r="A256" s="45">
        <v>14687</v>
      </c>
      <c r="B256" s="37" t="str">
        <f>HYPERLINK("http://sedek.ru/upload/iblock/aae/baklazhan_belaya_noch.jpg","фото")</f>
        <v>фото</v>
      </c>
      <c r="C256" s="38"/>
      <c r="D256" s="38"/>
      <c r="E256" s="39"/>
      <c r="F256" s="39" t="s">
        <v>382</v>
      </c>
      <c r="G256" s="44">
        <v>0.2</v>
      </c>
      <c r="H256" s="39" t="s">
        <v>101</v>
      </c>
      <c r="I256" s="39" t="s">
        <v>287</v>
      </c>
      <c r="J256" s="41">
        <v>4000</v>
      </c>
      <c r="K256" s="42">
        <v>6.8</v>
      </c>
      <c r="L256" s="43"/>
      <c r="M256" s="43">
        <f>L256*K256</f>
        <v>0</v>
      </c>
      <c r="N256" s="35">
        <v>4607149408627</v>
      </c>
    </row>
    <row r="257" spans="1:14" ht="24" customHeight="1" outlineLevel="3" x14ac:dyDescent="0.2">
      <c r="A257" s="45">
        <v>15775</v>
      </c>
      <c r="B257" s="37" t="str">
        <f>HYPERLINK("http://sedek.ru/upload/iblock/77d/baklazhan_blek_byuti.jpg","фото")</f>
        <v>фото</v>
      </c>
      <c r="C257" s="38"/>
      <c r="D257" s="38"/>
      <c r="E257" s="39"/>
      <c r="F257" s="39" t="s">
        <v>383</v>
      </c>
      <c r="G257" s="44">
        <v>0.2</v>
      </c>
      <c r="H257" s="39" t="s">
        <v>101</v>
      </c>
      <c r="I257" s="39" t="s">
        <v>102</v>
      </c>
      <c r="J257" s="41">
        <v>4000</v>
      </c>
      <c r="K257" s="42">
        <v>20.5</v>
      </c>
      <c r="L257" s="43"/>
      <c r="M257" s="43">
        <f>L257*K257</f>
        <v>0</v>
      </c>
      <c r="N257" s="35">
        <v>4607015181241</v>
      </c>
    </row>
    <row r="258" spans="1:14" ht="24" customHeight="1" outlineLevel="3" x14ac:dyDescent="0.2">
      <c r="A258" s="45">
        <v>15775</v>
      </c>
      <c r="B258" s="37" t="str">
        <f>HYPERLINK("http://sedek.ru/upload/iblock/77d/baklazhan_blek_byuti.jpg","фото")</f>
        <v>фото</v>
      </c>
      <c r="C258" s="38"/>
      <c r="D258" s="38"/>
      <c r="E258" s="39"/>
      <c r="F258" s="39" t="s">
        <v>384</v>
      </c>
      <c r="G258" s="44">
        <v>0.2</v>
      </c>
      <c r="H258" s="39" t="s">
        <v>101</v>
      </c>
      <c r="I258" s="39" t="s">
        <v>287</v>
      </c>
      <c r="J258" s="41">
        <v>4000</v>
      </c>
      <c r="K258" s="42">
        <v>6.8</v>
      </c>
      <c r="L258" s="43"/>
      <c r="M258" s="43">
        <f>L258*K258</f>
        <v>0</v>
      </c>
      <c r="N258" s="35">
        <v>4607149402076</v>
      </c>
    </row>
    <row r="259" spans="1:14" ht="24" customHeight="1" outlineLevel="3" x14ac:dyDescent="0.2">
      <c r="A259" s="45">
        <v>16675</v>
      </c>
      <c r="B259" s="37" t="str">
        <f>HYPERLINK("http://sedek.ru/upload/iblock/8bb/baklazhan_bychok.jpg","фото")</f>
        <v>фото</v>
      </c>
      <c r="C259" s="38"/>
      <c r="D259" s="38"/>
      <c r="E259" s="39"/>
      <c r="F259" s="39" t="s">
        <v>385</v>
      </c>
      <c r="G259" s="44">
        <v>0.2</v>
      </c>
      <c r="H259" s="39" t="s">
        <v>101</v>
      </c>
      <c r="I259" s="39" t="s">
        <v>102</v>
      </c>
      <c r="J259" s="41">
        <v>5000</v>
      </c>
      <c r="K259" s="42">
        <v>19.899999999999999</v>
      </c>
      <c r="L259" s="43"/>
      <c r="M259" s="43">
        <f>L259*K259</f>
        <v>0</v>
      </c>
      <c r="N259" s="35">
        <v>4690368015004</v>
      </c>
    </row>
    <row r="260" spans="1:14" ht="24" customHeight="1" outlineLevel="3" x14ac:dyDescent="0.2">
      <c r="A260" s="46">
        <v>16502</v>
      </c>
      <c r="B260" s="47" t="str">
        <f>HYPERLINK("http://sedek.ru/upload/iblock/db3/baklazhan_byche_serdtse_f1.jpg","фото")</f>
        <v>фото</v>
      </c>
      <c r="C260" s="48"/>
      <c r="D260" s="48" t="s">
        <v>266</v>
      </c>
      <c r="E260" s="49"/>
      <c r="F260" s="49" t="s">
        <v>386</v>
      </c>
      <c r="G260" s="56">
        <v>0.2</v>
      </c>
      <c r="H260" s="49" t="s">
        <v>101</v>
      </c>
      <c r="I260" s="49" t="s">
        <v>102</v>
      </c>
      <c r="J260" s="51">
        <v>5000</v>
      </c>
      <c r="K260" s="52">
        <v>22.5</v>
      </c>
      <c r="L260" s="53"/>
      <c r="M260" s="53">
        <f>L260*K260</f>
        <v>0</v>
      </c>
      <c r="N260" s="35">
        <v>4607015181289</v>
      </c>
    </row>
    <row r="261" spans="1:14" ht="24" customHeight="1" outlineLevel="3" x14ac:dyDescent="0.2">
      <c r="A261" s="71">
        <v>16502</v>
      </c>
      <c r="B261" s="72" t="str">
        <f>HYPERLINK("http://sedek.ru/upload/iblock/db3/baklazhan_byche_serdtse_f1.jpg","фото")</f>
        <v>фото</v>
      </c>
      <c r="C261" s="73"/>
      <c r="D261" s="73" t="s">
        <v>266</v>
      </c>
      <c r="E261" s="74"/>
      <c r="F261" s="74" t="s">
        <v>387</v>
      </c>
      <c r="G261" s="80">
        <v>0.2</v>
      </c>
      <c r="H261" s="74" t="s">
        <v>101</v>
      </c>
      <c r="I261" s="74" t="s">
        <v>287</v>
      </c>
      <c r="J261" s="76">
        <v>5000</v>
      </c>
      <c r="K261" s="77">
        <v>10.8</v>
      </c>
      <c r="L261" s="78"/>
      <c r="M261" s="78">
        <f>L261*K261</f>
        <v>0</v>
      </c>
      <c r="N261" s="79">
        <v>4607149402083</v>
      </c>
    </row>
    <row r="262" spans="1:14" ht="24" customHeight="1" outlineLevel="3" x14ac:dyDescent="0.2">
      <c r="A262" s="45">
        <v>13553</v>
      </c>
      <c r="B262" s="37" t="str">
        <f>HYPERLINK("http://sedek.ru/upload/iblock/e45/baklazhan_vkus_gribov.jpg","фото")</f>
        <v>фото</v>
      </c>
      <c r="C262" s="38"/>
      <c r="D262" s="38"/>
      <c r="E262" s="39"/>
      <c r="F262" s="39" t="s">
        <v>388</v>
      </c>
      <c r="G262" s="44">
        <v>0.2</v>
      </c>
      <c r="H262" s="39" t="s">
        <v>101</v>
      </c>
      <c r="I262" s="39" t="s">
        <v>287</v>
      </c>
      <c r="J262" s="41">
        <v>5000</v>
      </c>
      <c r="K262" s="42">
        <v>9.1999999999999993</v>
      </c>
      <c r="L262" s="43"/>
      <c r="M262" s="43">
        <f>L262*K262</f>
        <v>0</v>
      </c>
      <c r="N262" s="35">
        <v>4690368001281</v>
      </c>
    </row>
    <row r="263" spans="1:14" ht="24" customHeight="1" outlineLevel="3" x14ac:dyDescent="0.2">
      <c r="A263" s="45">
        <v>13775</v>
      </c>
      <c r="B263" s="37" t="str">
        <f>HYPERLINK("http://sedek.ru/upload/iblock/82f/baklazhan_galina_f1.jpg","фото")</f>
        <v>фото</v>
      </c>
      <c r="C263" s="38"/>
      <c r="D263" s="38"/>
      <c r="E263" s="39"/>
      <c r="F263" s="39" t="s">
        <v>389</v>
      </c>
      <c r="G263" s="44">
        <v>0.1</v>
      </c>
      <c r="H263" s="39" t="s">
        <v>101</v>
      </c>
      <c r="I263" s="39" t="s">
        <v>102</v>
      </c>
      <c r="J263" s="41">
        <v>5000</v>
      </c>
      <c r="K263" s="42">
        <v>27.8</v>
      </c>
      <c r="L263" s="43"/>
      <c r="M263" s="43">
        <f>L263*K263</f>
        <v>0</v>
      </c>
      <c r="N263" s="35">
        <v>4607116267073</v>
      </c>
    </row>
    <row r="264" spans="1:14" ht="24" customHeight="1" outlineLevel="3" x14ac:dyDescent="0.2">
      <c r="A264" s="45">
        <v>13775</v>
      </c>
      <c r="B264" s="37" t="str">
        <f>HYPERLINK("http://sedek.ru/upload/iblock/82f/baklazhan_galina_f1.jpg","фото")</f>
        <v>фото</v>
      </c>
      <c r="C264" s="38"/>
      <c r="D264" s="38"/>
      <c r="E264" s="39"/>
      <c r="F264" s="39" t="s">
        <v>390</v>
      </c>
      <c r="G264" s="44">
        <v>0.1</v>
      </c>
      <c r="H264" s="39" t="s">
        <v>101</v>
      </c>
      <c r="I264" s="39" t="s">
        <v>287</v>
      </c>
      <c r="J264" s="41">
        <v>5000</v>
      </c>
      <c r="K264" s="42">
        <v>12.7</v>
      </c>
      <c r="L264" s="43"/>
      <c r="M264" s="43">
        <f>L264*K264</f>
        <v>0</v>
      </c>
      <c r="N264" s="35">
        <v>4607149408207</v>
      </c>
    </row>
    <row r="265" spans="1:14" ht="24" customHeight="1" outlineLevel="3" x14ac:dyDescent="0.2">
      <c r="A265" s="46">
        <v>14501</v>
      </c>
      <c r="B265" s="47" t="str">
        <f>HYPERLINK("http://sedek.ru/upload/iblock/ebc/baklazhan_dlinnyy_fioletovyy.jpg","фото")</f>
        <v>фото</v>
      </c>
      <c r="C265" s="48"/>
      <c r="D265" s="48"/>
      <c r="E265" s="49"/>
      <c r="F265" s="49" t="s">
        <v>391</v>
      </c>
      <c r="G265" s="56">
        <v>0.2</v>
      </c>
      <c r="H265" s="49" t="s">
        <v>101</v>
      </c>
      <c r="I265" s="49" t="s">
        <v>102</v>
      </c>
      <c r="J265" s="51">
        <v>4000</v>
      </c>
      <c r="K265" s="52">
        <v>17.899999999999999</v>
      </c>
      <c r="L265" s="53"/>
      <c r="M265" s="53">
        <f>L265*K265</f>
        <v>0</v>
      </c>
      <c r="N265" s="35">
        <v>4607015181326</v>
      </c>
    </row>
    <row r="266" spans="1:14" ht="24" customHeight="1" outlineLevel="3" x14ac:dyDescent="0.2">
      <c r="A266" s="71">
        <v>14501</v>
      </c>
      <c r="B266" s="72" t="str">
        <f>HYPERLINK("http://sedek.ru/upload/iblock/ebc/baklazhan_dlinnyy_fioletovyy.jpg","фото")</f>
        <v>фото</v>
      </c>
      <c r="C266" s="73"/>
      <c r="D266" s="73"/>
      <c r="E266" s="74"/>
      <c r="F266" s="74" t="s">
        <v>392</v>
      </c>
      <c r="G266" s="80">
        <v>0.2</v>
      </c>
      <c r="H266" s="74" t="s">
        <v>101</v>
      </c>
      <c r="I266" s="74" t="s">
        <v>287</v>
      </c>
      <c r="J266" s="76">
        <v>4000</v>
      </c>
      <c r="K266" s="77">
        <v>6.5</v>
      </c>
      <c r="L266" s="78"/>
      <c r="M266" s="78">
        <f>L266*K266</f>
        <v>0</v>
      </c>
      <c r="N266" s="79">
        <v>4607149408184</v>
      </c>
    </row>
    <row r="267" spans="1:14" ht="24" customHeight="1" outlineLevel="3" x14ac:dyDescent="0.2">
      <c r="A267" s="45">
        <v>14744</v>
      </c>
      <c r="B267" s="37" t="str">
        <f>HYPERLINK("http://sedek.ru/upload/iblock/ea7/baklazhan_dlya_barbekyu_f1.jpg","фото")</f>
        <v>фото</v>
      </c>
      <c r="C267" s="38"/>
      <c r="D267" s="38"/>
      <c r="E267" s="39"/>
      <c r="F267" s="39" t="s">
        <v>393</v>
      </c>
      <c r="G267" s="44">
        <v>0.2</v>
      </c>
      <c r="H267" s="39" t="s">
        <v>101</v>
      </c>
      <c r="I267" s="39" t="s">
        <v>102</v>
      </c>
      <c r="J267" s="41">
        <v>5000</v>
      </c>
      <c r="K267" s="42">
        <v>22.6</v>
      </c>
      <c r="L267" s="43"/>
      <c r="M267" s="43">
        <f>L267*K267</f>
        <v>0</v>
      </c>
      <c r="N267" s="35">
        <v>4690368005692</v>
      </c>
    </row>
    <row r="268" spans="1:14" ht="24" customHeight="1" outlineLevel="3" x14ac:dyDescent="0.2">
      <c r="A268" s="45">
        <v>16425</v>
      </c>
      <c r="B268" s="37" t="str">
        <f>HYPERLINK("http://www.sedek.ru/upload/iblock/805/baklazhan_dlya_shashlyka_f1.JPG","фото")</f>
        <v>фото</v>
      </c>
      <c r="C268" s="38"/>
      <c r="D268" s="38"/>
      <c r="E268" s="39"/>
      <c r="F268" s="39" t="s">
        <v>394</v>
      </c>
      <c r="G268" s="44">
        <v>0.2</v>
      </c>
      <c r="H268" s="39" t="s">
        <v>101</v>
      </c>
      <c r="I268" s="39" t="s">
        <v>102</v>
      </c>
      <c r="J268" s="41">
        <v>5000</v>
      </c>
      <c r="K268" s="42">
        <v>22.6</v>
      </c>
      <c r="L268" s="43"/>
      <c r="M268" s="43">
        <f>L268*K268</f>
        <v>0</v>
      </c>
      <c r="N268" s="35">
        <v>4690368005708</v>
      </c>
    </row>
    <row r="269" spans="1:14" ht="24" customHeight="1" outlineLevel="3" x14ac:dyDescent="0.2">
      <c r="A269" s="45">
        <v>13788</v>
      </c>
      <c r="B269" s="37" t="str">
        <f>HYPERLINK("http://sedek.ru/upload/iblock/d53/baklazhan_esaul_f1.jpg","фото")</f>
        <v>фото</v>
      </c>
      <c r="C269" s="38"/>
      <c r="D269" s="38"/>
      <c r="E269" s="39"/>
      <c r="F269" s="39" t="s">
        <v>395</v>
      </c>
      <c r="G269" s="44">
        <v>0.2</v>
      </c>
      <c r="H269" s="39" t="s">
        <v>101</v>
      </c>
      <c r="I269" s="39" t="s">
        <v>102</v>
      </c>
      <c r="J269" s="41">
        <v>5000</v>
      </c>
      <c r="K269" s="42">
        <v>20.5</v>
      </c>
      <c r="L269" s="43"/>
      <c r="M269" s="43">
        <f>L269*K269</f>
        <v>0</v>
      </c>
      <c r="N269" s="35">
        <v>4607015181340</v>
      </c>
    </row>
    <row r="270" spans="1:14" ht="24" customHeight="1" outlineLevel="3" x14ac:dyDescent="0.2">
      <c r="A270" s="45">
        <v>13788</v>
      </c>
      <c r="B270" s="37" t="str">
        <f>HYPERLINK("http://sedek.ru/upload/iblock/d53/baklazhan_esaul_f1.jpg","фото")</f>
        <v>фото</v>
      </c>
      <c r="C270" s="38"/>
      <c r="D270" s="38"/>
      <c r="E270" s="39"/>
      <c r="F270" s="39" t="s">
        <v>396</v>
      </c>
      <c r="G270" s="44">
        <v>0.2</v>
      </c>
      <c r="H270" s="39" t="s">
        <v>101</v>
      </c>
      <c r="I270" s="39" t="s">
        <v>287</v>
      </c>
      <c r="J270" s="41">
        <v>5000</v>
      </c>
      <c r="K270" s="42">
        <v>6.8</v>
      </c>
      <c r="L270" s="43"/>
      <c r="M270" s="43">
        <f>L270*K270</f>
        <v>0</v>
      </c>
      <c r="N270" s="35">
        <v>4690368000857</v>
      </c>
    </row>
    <row r="271" spans="1:14" ht="24" customHeight="1" outlineLevel="3" x14ac:dyDescent="0.2">
      <c r="A271" s="45">
        <v>15914</v>
      </c>
      <c r="B271" s="37" t="str">
        <f>HYPERLINK("http://www.sedek.ru/upload/iblock/bf2/baklazhan_zelyenenkiy.jpg","фото")</f>
        <v>фото</v>
      </c>
      <c r="C271" s="38"/>
      <c r="D271" s="38"/>
      <c r="E271" s="39"/>
      <c r="F271" s="39" t="s">
        <v>397</v>
      </c>
      <c r="G271" s="44">
        <v>0.2</v>
      </c>
      <c r="H271" s="39" t="s">
        <v>101</v>
      </c>
      <c r="I271" s="39" t="s">
        <v>102</v>
      </c>
      <c r="J271" s="41">
        <v>5000</v>
      </c>
      <c r="K271" s="42">
        <v>20.5</v>
      </c>
      <c r="L271" s="43"/>
      <c r="M271" s="43">
        <f>L271*K271</f>
        <v>0</v>
      </c>
      <c r="N271" s="35">
        <v>4607116267080</v>
      </c>
    </row>
    <row r="272" spans="1:14" ht="24" customHeight="1" outlineLevel="3" x14ac:dyDescent="0.2">
      <c r="A272" s="45">
        <v>15914</v>
      </c>
      <c r="B272" s="37" t="str">
        <f>HYPERLINK("http://www.sedek.ru/upload/iblock/bf2/baklazhan_zelyenenkiy.jpg","фото")</f>
        <v>фото</v>
      </c>
      <c r="C272" s="38"/>
      <c r="D272" s="38"/>
      <c r="E272" s="39"/>
      <c r="F272" s="39" t="s">
        <v>398</v>
      </c>
      <c r="G272" s="44">
        <v>0.2</v>
      </c>
      <c r="H272" s="39" t="s">
        <v>101</v>
      </c>
      <c r="I272" s="39" t="s">
        <v>287</v>
      </c>
      <c r="J272" s="41">
        <v>5000</v>
      </c>
      <c r="K272" s="42">
        <v>6.8</v>
      </c>
      <c r="L272" s="43"/>
      <c r="M272" s="43">
        <f>L272*K272</f>
        <v>0</v>
      </c>
      <c r="N272" s="35">
        <v>4690368013093</v>
      </c>
    </row>
    <row r="273" spans="1:14" ht="24" customHeight="1" outlineLevel="3" x14ac:dyDescent="0.2">
      <c r="A273" s="45">
        <v>14210</v>
      </c>
      <c r="B273" s="37" t="str">
        <f>HYPERLINK("http://www.sedek.ru/upload/iblock/a4d/baklazhan_izumrudnyy_f1.jpg","фото")</f>
        <v>фото</v>
      </c>
      <c r="C273" s="38"/>
      <c r="D273" s="38" t="s">
        <v>266</v>
      </c>
      <c r="E273" s="39"/>
      <c r="F273" s="39" t="s">
        <v>399</v>
      </c>
      <c r="G273" s="44">
        <v>0.2</v>
      </c>
      <c r="H273" s="39" t="s">
        <v>101</v>
      </c>
      <c r="I273" s="39" t="s">
        <v>102</v>
      </c>
      <c r="J273" s="41">
        <v>5000</v>
      </c>
      <c r="K273" s="42">
        <v>20.8</v>
      </c>
      <c r="L273" s="43"/>
      <c r="M273" s="43">
        <f>L273*K273</f>
        <v>0</v>
      </c>
      <c r="N273" s="35">
        <v>4607116267097</v>
      </c>
    </row>
    <row r="274" spans="1:14" ht="24" customHeight="1" outlineLevel="3" x14ac:dyDescent="0.2">
      <c r="A274" s="45">
        <v>14020</v>
      </c>
      <c r="B274" s="37" t="s">
        <v>400</v>
      </c>
      <c r="C274" s="38"/>
      <c r="D274" s="38"/>
      <c r="E274" s="39"/>
      <c r="F274" s="39" t="s">
        <v>401</v>
      </c>
      <c r="G274" s="44">
        <v>0.1</v>
      </c>
      <c r="H274" s="39" t="s">
        <v>101</v>
      </c>
      <c r="I274" s="39" t="s">
        <v>102</v>
      </c>
      <c r="J274" s="41">
        <v>5000</v>
      </c>
      <c r="K274" s="42">
        <v>33.4</v>
      </c>
      <c r="L274" s="43"/>
      <c r="M274" s="43">
        <f>L274*K274</f>
        <v>0</v>
      </c>
      <c r="N274" s="35">
        <v>4690368007702</v>
      </c>
    </row>
    <row r="275" spans="1:14" ht="24" customHeight="1" outlineLevel="3" x14ac:dyDescent="0.2">
      <c r="A275" s="45">
        <v>16676</v>
      </c>
      <c r="B275" s="37" t="str">
        <f>HYPERLINK("http://sedek.ru/upload/iblock/3f8/baklazhan_krasavchik.jpg","фото")</f>
        <v>фото</v>
      </c>
      <c r="C275" s="38"/>
      <c r="D275" s="38" t="s">
        <v>266</v>
      </c>
      <c r="E275" s="39"/>
      <c r="F275" s="39" t="s">
        <v>402</v>
      </c>
      <c r="G275" s="44">
        <v>0.2</v>
      </c>
      <c r="H275" s="39" t="s">
        <v>101</v>
      </c>
      <c r="I275" s="39" t="s">
        <v>102</v>
      </c>
      <c r="J275" s="41">
        <v>5000</v>
      </c>
      <c r="K275" s="42">
        <v>19.399999999999999</v>
      </c>
      <c r="L275" s="43"/>
      <c r="M275" s="43">
        <f>L275*K275</f>
        <v>0</v>
      </c>
      <c r="N275" s="35">
        <v>4690368015011</v>
      </c>
    </row>
    <row r="276" spans="1:14" ht="24" customHeight="1" outlineLevel="3" x14ac:dyDescent="0.2">
      <c r="A276" s="45">
        <v>14600</v>
      </c>
      <c r="B276" s="37" t="str">
        <f>HYPERLINK("http://sedek.ru/upload/iblock/d67/baklazhan_lava_f1.jpg","фото")</f>
        <v>фото</v>
      </c>
      <c r="C276" s="38"/>
      <c r="D276" s="38"/>
      <c r="E276" s="39"/>
      <c r="F276" s="39" t="s">
        <v>403</v>
      </c>
      <c r="G276" s="44">
        <v>0.2</v>
      </c>
      <c r="H276" s="39" t="s">
        <v>101</v>
      </c>
      <c r="I276" s="39" t="s">
        <v>102</v>
      </c>
      <c r="J276" s="41">
        <v>4000</v>
      </c>
      <c r="K276" s="42">
        <v>20.5</v>
      </c>
      <c r="L276" s="43"/>
      <c r="M276" s="43">
        <f>L276*K276</f>
        <v>0</v>
      </c>
      <c r="N276" s="35">
        <v>4607015181364</v>
      </c>
    </row>
    <row r="277" spans="1:14" ht="24" customHeight="1" outlineLevel="3" x14ac:dyDescent="0.2">
      <c r="A277" s="45">
        <v>14600</v>
      </c>
      <c r="B277" s="37" t="str">
        <f>HYPERLINK("http://sedek.ru/upload/iblock/d67/baklazhan_lava_f1.jpg","фото")</f>
        <v>фото</v>
      </c>
      <c r="C277" s="38"/>
      <c r="D277" s="38"/>
      <c r="E277" s="39"/>
      <c r="F277" s="39" t="s">
        <v>404</v>
      </c>
      <c r="G277" s="44">
        <v>0.2</v>
      </c>
      <c r="H277" s="39" t="s">
        <v>101</v>
      </c>
      <c r="I277" s="39" t="s">
        <v>287</v>
      </c>
      <c r="J277" s="41">
        <v>4000</v>
      </c>
      <c r="K277" s="42">
        <v>6.8</v>
      </c>
      <c r="L277" s="43"/>
      <c r="M277" s="43">
        <f>L277*K277</f>
        <v>0</v>
      </c>
      <c r="N277" s="35">
        <v>4690368000864</v>
      </c>
    </row>
    <row r="278" spans="1:14" ht="24" customHeight="1" outlineLevel="3" x14ac:dyDescent="0.2">
      <c r="A278" s="45">
        <v>15160</v>
      </c>
      <c r="B278" s="37" t="str">
        <f>HYPERLINK("http://sedek.ru/upload/iblock/b3b/baklazhan_lebedinyy.jpg","фото")</f>
        <v>фото</v>
      </c>
      <c r="C278" s="38"/>
      <c r="D278" s="38"/>
      <c r="E278" s="39"/>
      <c r="F278" s="39" t="s">
        <v>405</v>
      </c>
      <c r="G278" s="44">
        <v>0.2</v>
      </c>
      <c r="H278" s="39" t="s">
        <v>101</v>
      </c>
      <c r="I278" s="39" t="s">
        <v>102</v>
      </c>
      <c r="J278" s="41">
        <v>4000</v>
      </c>
      <c r="K278" s="42">
        <v>20.5</v>
      </c>
      <c r="L278" s="43"/>
      <c r="M278" s="43">
        <f>L278*K278</f>
        <v>0</v>
      </c>
      <c r="N278" s="35">
        <v>4607015185706</v>
      </c>
    </row>
    <row r="279" spans="1:14" ht="24" customHeight="1" outlineLevel="3" x14ac:dyDescent="0.2">
      <c r="A279" s="45">
        <v>15160</v>
      </c>
      <c r="B279" s="37" t="str">
        <f>HYPERLINK("http://sedek.ru/upload/iblock/b3b/baklazhan_lebedinyy.jpg","фото")</f>
        <v>фото</v>
      </c>
      <c r="C279" s="38"/>
      <c r="D279" s="38"/>
      <c r="E279" s="39"/>
      <c r="F279" s="39" t="s">
        <v>406</v>
      </c>
      <c r="G279" s="44">
        <v>0.2</v>
      </c>
      <c r="H279" s="39" t="s">
        <v>101</v>
      </c>
      <c r="I279" s="39" t="s">
        <v>287</v>
      </c>
      <c r="J279" s="41">
        <v>4000</v>
      </c>
      <c r="K279" s="42">
        <v>6.8</v>
      </c>
      <c r="L279" s="43"/>
      <c r="M279" s="43">
        <f>L279*K279</f>
        <v>0</v>
      </c>
      <c r="N279" s="35">
        <v>4607149409570</v>
      </c>
    </row>
    <row r="280" spans="1:14" ht="24" customHeight="1" outlineLevel="3" x14ac:dyDescent="0.2">
      <c r="A280" s="45">
        <v>14802</v>
      </c>
      <c r="B280" s="37" t="str">
        <f>HYPERLINK("http://sedek.ru/upload/iblock/957/baklazhan_mariya.jpg","фото")</f>
        <v>фото</v>
      </c>
      <c r="C280" s="38"/>
      <c r="D280" s="38"/>
      <c r="E280" s="39"/>
      <c r="F280" s="39" t="s">
        <v>407</v>
      </c>
      <c r="G280" s="44">
        <v>0.2</v>
      </c>
      <c r="H280" s="39" t="s">
        <v>101</v>
      </c>
      <c r="I280" s="39" t="s">
        <v>102</v>
      </c>
      <c r="J280" s="41">
        <v>5000</v>
      </c>
      <c r="K280" s="42">
        <v>20.8</v>
      </c>
      <c r="L280" s="43"/>
      <c r="M280" s="43">
        <f>L280*K280</f>
        <v>0</v>
      </c>
      <c r="N280" s="35">
        <v>4607015185713</v>
      </c>
    </row>
    <row r="281" spans="1:14" ht="24" customHeight="1" outlineLevel="3" x14ac:dyDescent="0.2">
      <c r="A281" s="45">
        <v>14802</v>
      </c>
      <c r="B281" s="37" t="str">
        <f>HYPERLINK("http://sedek.ru/upload/iblock/957/baklazhan_mariya.jpg","фото")</f>
        <v>фото</v>
      </c>
      <c r="C281" s="38"/>
      <c r="D281" s="38"/>
      <c r="E281" s="39"/>
      <c r="F281" s="39" t="s">
        <v>408</v>
      </c>
      <c r="G281" s="44">
        <v>0.2</v>
      </c>
      <c r="H281" s="39" t="s">
        <v>101</v>
      </c>
      <c r="I281" s="39" t="s">
        <v>287</v>
      </c>
      <c r="J281" s="41">
        <v>5000</v>
      </c>
      <c r="K281" s="42">
        <v>7.3</v>
      </c>
      <c r="L281" s="43"/>
      <c r="M281" s="43">
        <f>L281*K281</f>
        <v>0</v>
      </c>
      <c r="N281" s="35">
        <v>4607149407019</v>
      </c>
    </row>
    <row r="282" spans="1:14" ht="24" customHeight="1" outlineLevel="3" x14ac:dyDescent="0.2">
      <c r="A282" s="45">
        <v>15135</v>
      </c>
      <c r="B282" s="37" t="str">
        <f>HYPERLINK("http://www.sedek.ru/upload/iblock/7d7/baklazhan_markiz_f1.jpg","фото")</f>
        <v>фото</v>
      </c>
      <c r="C282" s="38"/>
      <c r="D282" s="38"/>
      <c r="E282" s="39"/>
      <c r="F282" s="39" t="s">
        <v>409</v>
      </c>
      <c r="G282" s="44">
        <v>0.1</v>
      </c>
      <c r="H282" s="39" t="s">
        <v>101</v>
      </c>
      <c r="I282" s="39" t="s">
        <v>102</v>
      </c>
      <c r="J282" s="41">
        <v>5000</v>
      </c>
      <c r="K282" s="42">
        <v>33.4</v>
      </c>
      <c r="L282" s="43"/>
      <c r="M282" s="43">
        <f>L282*K282</f>
        <v>0</v>
      </c>
      <c r="N282" s="35">
        <v>4690368007719</v>
      </c>
    </row>
    <row r="283" spans="1:14" ht="24" customHeight="1" outlineLevel="3" x14ac:dyDescent="0.2">
      <c r="A283" s="45">
        <v>15135</v>
      </c>
      <c r="B283" s="37" t="str">
        <f>HYPERLINK("http://www.sedek.ru/upload/iblock/7d7/baklazhan_markiz_f1.jpg","фото")</f>
        <v>фото</v>
      </c>
      <c r="C283" s="38"/>
      <c r="D283" s="38"/>
      <c r="E283" s="39"/>
      <c r="F283" s="39" t="s">
        <v>410</v>
      </c>
      <c r="G283" s="44">
        <v>0.2</v>
      </c>
      <c r="H283" s="39" t="s">
        <v>101</v>
      </c>
      <c r="I283" s="39" t="s">
        <v>102</v>
      </c>
      <c r="J283" s="41">
        <v>5000</v>
      </c>
      <c r="K283" s="42">
        <v>33.4</v>
      </c>
      <c r="L283" s="43"/>
      <c r="M283" s="43">
        <f>L283*K283</f>
        <v>0</v>
      </c>
      <c r="N283" s="35">
        <v>4690368007719</v>
      </c>
    </row>
    <row r="284" spans="1:14" ht="24" customHeight="1" outlineLevel="3" x14ac:dyDescent="0.2">
      <c r="A284" s="45">
        <v>14027</v>
      </c>
      <c r="B284" s="37" t="str">
        <f>HYPERLINK("http://sedek.ru/upload/iblock/e66/baklazhan_matrosik.jpg","фото")</f>
        <v>фото</v>
      </c>
      <c r="C284" s="38"/>
      <c r="D284" s="38" t="s">
        <v>266</v>
      </c>
      <c r="E284" s="39"/>
      <c r="F284" s="39" t="s">
        <v>411</v>
      </c>
      <c r="G284" s="44">
        <v>0.2</v>
      </c>
      <c r="H284" s="39" t="s">
        <v>101</v>
      </c>
      <c r="I284" s="39" t="s">
        <v>102</v>
      </c>
      <c r="J284" s="41">
        <v>5000</v>
      </c>
      <c r="K284" s="42">
        <v>19.3</v>
      </c>
      <c r="L284" s="43"/>
      <c r="M284" s="43">
        <f>L284*K284</f>
        <v>0</v>
      </c>
      <c r="N284" s="35">
        <v>4607015185720</v>
      </c>
    </row>
    <row r="285" spans="1:14" ht="24" customHeight="1" outlineLevel="3" x14ac:dyDescent="0.2">
      <c r="A285" s="46">
        <v>15290</v>
      </c>
      <c r="B285" s="47" t="str">
        <f>HYPERLINK("http://www.sedek.ru/upload/iblock/b98/baklazhan_mechta_ogorodnika.jpg","фото")</f>
        <v>фото</v>
      </c>
      <c r="C285" s="48"/>
      <c r="D285" s="48"/>
      <c r="E285" s="49"/>
      <c r="F285" s="49" t="s">
        <v>412</v>
      </c>
      <c r="G285" s="56">
        <v>0.2</v>
      </c>
      <c r="H285" s="49" t="s">
        <v>101</v>
      </c>
      <c r="I285" s="49" t="s">
        <v>102</v>
      </c>
      <c r="J285" s="51">
        <v>4000</v>
      </c>
      <c r="K285" s="52">
        <v>19.5</v>
      </c>
      <c r="L285" s="53"/>
      <c r="M285" s="53">
        <f>L285*K285</f>
        <v>0</v>
      </c>
      <c r="N285" s="35">
        <v>4607149404230</v>
      </c>
    </row>
    <row r="286" spans="1:14" ht="24" customHeight="1" outlineLevel="3" x14ac:dyDescent="0.2">
      <c r="A286" s="71">
        <v>15290</v>
      </c>
      <c r="B286" s="72" t="str">
        <f>HYPERLINK("http://www.sedek.ru/upload/iblock/b98/baklazhan_mechta_ogorodnika.jpg","фото")</f>
        <v>фото</v>
      </c>
      <c r="C286" s="73"/>
      <c r="D286" s="73"/>
      <c r="E286" s="74"/>
      <c r="F286" s="74" t="s">
        <v>413</v>
      </c>
      <c r="G286" s="80">
        <v>0.2</v>
      </c>
      <c r="H286" s="74" t="s">
        <v>101</v>
      </c>
      <c r="I286" s="74" t="s">
        <v>287</v>
      </c>
      <c r="J286" s="76">
        <v>4000</v>
      </c>
      <c r="K286" s="77">
        <v>7</v>
      </c>
      <c r="L286" s="78"/>
      <c r="M286" s="78">
        <f>L286*K286</f>
        <v>0</v>
      </c>
      <c r="N286" s="79">
        <v>4607149408634</v>
      </c>
    </row>
    <row r="287" spans="1:14" ht="24" customHeight="1" outlineLevel="3" x14ac:dyDescent="0.2">
      <c r="A287" s="45">
        <v>15385</v>
      </c>
      <c r="B287" s="37" t="str">
        <f>HYPERLINK("http://sedek.ru/upload/iblock/13b/baklazhan_nastenka.jpg","фото")</f>
        <v>фото</v>
      </c>
      <c r="C287" s="38"/>
      <c r="D287" s="38"/>
      <c r="E287" s="39"/>
      <c r="F287" s="39" t="s">
        <v>414</v>
      </c>
      <c r="G287" s="44">
        <v>0.2</v>
      </c>
      <c r="H287" s="39" t="s">
        <v>101</v>
      </c>
      <c r="I287" s="39" t="s">
        <v>102</v>
      </c>
      <c r="J287" s="41">
        <v>4000</v>
      </c>
      <c r="K287" s="42">
        <v>20.5</v>
      </c>
      <c r="L287" s="43"/>
      <c r="M287" s="43">
        <f>L287*K287</f>
        <v>0</v>
      </c>
      <c r="N287" s="35">
        <v>4607149404254</v>
      </c>
    </row>
    <row r="288" spans="1:14" ht="24" customHeight="1" outlineLevel="3" x14ac:dyDescent="0.2">
      <c r="A288" s="45">
        <v>14760</v>
      </c>
      <c r="B288" s="37" t="str">
        <f>HYPERLINK("http://sedek.ru/upload/iblock/9af/baklazhan_nizhnevolzhskiy.jpg","фото")</f>
        <v>фото</v>
      </c>
      <c r="C288" s="38"/>
      <c r="D288" s="38"/>
      <c r="E288" s="39"/>
      <c r="F288" s="39" t="s">
        <v>415</v>
      </c>
      <c r="G288" s="44">
        <v>0.2</v>
      </c>
      <c r="H288" s="39" t="s">
        <v>101</v>
      </c>
      <c r="I288" s="39" t="s">
        <v>102</v>
      </c>
      <c r="J288" s="41">
        <v>4000</v>
      </c>
      <c r="K288" s="42">
        <v>20.5</v>
      </c>
      <c r="L288" s="43"/>
      <c r="M288" s="43">
        <f>L288*K288</f>
        <v>0</v>
      </c>
      <c r="N288" s="35">
        <v>4607015185737</v>
      </c>
    </row>
    <row r="289" spans="1:14" ht="24" customHeight="1" outlineLevel="3" x14ac:dyDescent="0.2">
      <c r="A289" s="45">
        <v>14760</v>
      </c>
      <c r="B289" s="37" t="str">
        <f>HYPERLINK("http://sedek.ru/upload/iblock/9af/baklazhan_nizhnevolzhskiy.jpg","фото")</f>
        <v>фото</v>
      </c>
      <c r="C289" s="38"/>
      <c r="D289" s="38"/>
      <c r="E289" s="39"/>
      <c r="F289" s="39" t="s">
        <v>416</v>
      </c>
      <c r="G289" s="44">
        <v>0.2</v>
      </c>
      <c r="H289" s="39" t="s">
        <v>101</v>
      </c>
      <c r="I289" s="39" t="s">
        <v>287</v>
      </c>
      <c r="J289" s="41">
        <v>4000</v>
      </c>
      <c r="K289" s="42">
        <v>6.8</v>
      </c>
      <c r="L289" s="43"/>
      <c r="M289" s="43">
        <f>L289*K289</f>
        <v>0</v>
      </c>
      <c r="N289" s="35">
        <v>4690368004886</v>
      </c>
    </row>
    <row r="290" spans="1:14" ht="24" customHeight="1" outlineLevel="3" x14ac:dyDescent="0.2">
      <c r="A290" s="45">
        <v>14728</v>
      </c>
      <c r="B290" s="37" t="str">
        <f>HYPERLINK("http://sedek.ru/upload/iblock/3eb/baklazhan_prints.jpg","фото")</f>
        <v>фото</v>
      </c>
      <c r="C290" s="38"/>
      <c r="D290" s="38"/>
      <c r="E290" s="39"/>
      <c r="F290" s="39" t="s">
        <v>417</v>
      </c>
      <c r="G290" s="44">
        <v>0.2</v>
      </c>
      <c r="H290" s="39" t="s">
        <v>101</v>
      </c>
      <c r="I290" s="39" t="s">
        <v>102</v>
      </c>
      <c r="J290" s="41">
        <v>4000</v>
      </c>
      <c r="K290" s="42">
        <v>20.8</v>
      </c>
      <c r="L290" s="43"/>
      <c r="M290" s="43">
        <f>L290*K290</f>
        <v>0</v>
      </c>
      <c r="N290" s="35">
        <v>4607015185744</v>
      </c>
    </row>
    <row r="291" spans="1:14" ht="24" customHeight="1" outlineLevel="3" x14ac:dyDescent="0.2">
      <c r="A291" s="45">
        <v>14728</v>
      </c>
      <c r="B291" s="37" t="str">
        <f>HYPERLINK("http://sedek.ru/upload/iblock/3eb/baklazhan_prints.jpg","фото")</f>
        <v>фото</v>
      </c>
      <c r="C291" s="38"/>
      <c r="D291" s="38"/>
      <c r="E291" s="39"/>
      <c r="F291" s="39" t="s">
        <v>418</v>
      </c>
      <c r="G291" s="44">
        <v>0.2</v>
      </c>
      <c r="H291" s="39" t="s">
        <v>101</v>
      </c>
      <c r="I291" s="39" t="s">
        <v>287</v>
      </c>
      <c r="J291" s="41">
        <v>4000</v>
      </c>
      <c r="K291" s="42">
        <v>9.4</v>
      </c>
      <c r="L291" s="43"/>
      <c r="M291" s="43">
        <f>L291*K291</f>
        <v>0</v>
      </c>
      <c r="N291" s="35">
        <v>4607149408191</v>
      </c>
    </row>
    <row r="292" spans="1:14" ht="24" customHeight="1" outlineLevel="3" x14ac:dyDescent="0.2">
      <c r="A292" s="45">
        <v>14890</v>
      </c>
      <c r="B292" s="37" t="str">
        <f>HYPERLINK("http://sedek.ru/upload/iblock/371/baklazhan_sirenevyy.jpg","фото")</f>
        <v>фото</v>
      </c>
      <c r="C292" s="38"/>
      <c r="D292" s="38"/>
      <c r="E292" s="39"/>
      <c r="F292" s="39" t="s">
        <v>419</v>
      </c>
      <c r="G292" s="44">
        <v>0.2</v>
      </c>
      <c r="H292" s="39" t="s">
        <v>101</v>
      </c>
      <c r="I292" s="39" t="s">
        <v>102</v>
      </c>
      <c r="J292" s="41">
        <v>4000</v>
      </c>
      <c r="K292" s="42">
        <v>20.5</v>
      </c>
      <c r="L292" s="43"/>
      <c r="M292" s="43">
        <f>L292*K292</f>
        <v>0</v>
      </c>
      <c r="N292" s="35">
        <v>4607015185751</v>
      </c>
    </row>
    <row r="293" spans="1:14" ht="24" customHeight="1" outlineLevel="3" x14ac:dyDescent="0.2">
      <c r="A293" s="45">
        <v>14259</v>
      </c>
      <c r="B293" s="37" t="str">
        <f>HYPERLINK("http://sedek.ru/upload/iblock/0d2/baklazhan_smuglyanka.jpg","фото")</f>
        <v>фото</v>
      </c>
      <c r="C293" s="38"/>
      <c r="D293" s="38"/>
      <c r="E293" s="39"/>
      <c r="F293" s="39" t="s">
        <v>420</v>
      </c>
      <c r="G293" s="44">
        <v>0.2</v>
      </c>
      <c r="H293" s="39" t="s">
        <v>101</v>
      </c>
      <c r="I293" s="39" t="s">
        <v>102</v>
      </c>
      <c r="J293" s="41">
        <v>4000</v>
      </c>
      <c r="K293" s="42">
        <v>20.5</v>
      </c>
      <c r="L293" s="43"/>
      <c r="M293" s="43">
        <f>L293*K293</f>
        <v>0</v>
      </c>
      <c r="N293" s="35">
        <v>4607015185768</v>
      </c>
    </row>
    <row r="294" spans="1:14" ht="24" customHeight="1" outlineLevel="3" x14ac:dyDescent="0.2">
      <c r="A294" s="45">
        <v>14259</v>
      </c>
      <c r="B294" s="37" t="str">
        <f>HYPERLINK("http://sedek.ru/upload/iblock/0d2/baklazhan_smuglyanka.jpg","фото")</f>
        <v>фото</v>
      </c>
      <c r="C294" s="38"/>
      <c r="D294" s="38"/>
      <c r="E294" s="39"/>
      <c r="F294" s="39" t="s">
        <v>421</v>
      </c>
      <c r="G294" s="44">
        <v>0.2</v>
      </c>
      <c r="H294" s="39" t="s">
        <v>101</v>
      </c>
      <c r="I294" s="39" t="s">
        <v>287</v>
      </c>
      <c r="J294" s="41">
        <v>4000</v>
      </c>
      <c r="K294" s="42">
        <v>6.8</v>
      </c>
      <c r="L294" s="43"/>
      <c r="M294" s="43">
        <f>L294*K294</f>
        <v>0</v>
      </c>
      <c r="N294" s="35">
        <v>4690368000871</v>
      </c>
    </row>
    <row r="295" spans="1:14" ht="24" customHeight="1" outlineLevel="3" x14ac:dyDescent="0.2">
      <c r="A295" s="45">
        <v>16039</v>
      </c>
      <c r="B295" s="37" t="str">
        <f>HYPERLINK("http://sedek.ru/upload/iblock/062/baklazhan_sosulka.jpg","фото")</f>
        <v>фото</v>
      </c>
      <c r="C295" s="38"/>
      <c r="D295" s="38"/>
      <c r="E295" s="39"/>
      <c r="F295" s="39" t="s">
        <v>422</v>
      </c>
      <c r="G295" s="44">
        <v>0.2</v>
      </c>
      <c r="H295" s="39" t="s">
        <v>101</v>
      </c>
      <c r="I295" s="39" t="s">
        <v>102</v>
      </c>
      <c r="J295" s="41">
        <v>5000</v>
      </c>
      <c r="K295" s="42">
        <v>20.5</v>
      </c>
      <c r="L295" s="43"/>
      <c r="M295" s="43">
        <f>L295*K295</f>
        <v>0</v>
      </c>
      <c r="N295" s="35">
        <v>4607149406227</v>
      </c>
    </row>
    <row r="296" spans="1:14" ht="24" customHeight="1" outlineLevel="3" x14ac:dyDescent="0.2">
      <c r="A296" s="45">
        <v>13862</v>
      </c>
      <c r="B296" s="37" t="str">
        <f>HYPERLINK("http://www.sedek.ru/upload/iblock/435/baklazhan_suliko.jpg","фото")</f>
        <v>фото</v>
      </c>
      <c r="C296" s="38"/>
      <c r="D296" s="38"/>
      <c r="E296" s="39"/>
      <c r="F296" s="39" t="s">
        <v>423</v>
      </c>
      <c r="G296" s="44">
        <v>0.2</v>
      </c>
      <c r="H296" s="39" t="s">
        <v>101</v>
      </c>
      <c r="I296" s="39" t="s">
        <v>102</v>
      </c>
      <c r="J296" s="41">
        <v>4000</v>
      </c>
      <c r="K296" s="42">
        <v>20.5</v>
      </c>
      <c r="L296" s="43"/>
      <c r="M296" s="43">
        <f>L296*K296</f>
        <v>0</v>
      </c>
      <c r="N296" s="35">
        <v>4607015185775</v>
      </c>
    </row>
    <row r="297" spans="1:14" ht="24" customHeight="1" outlineLevel="3" x14ac:dyDescent="0.2">
      <c r="A297" s="45">
        <v>15312</v>
      </c>
      <c r="B297" s="37" t="str">
        <f>HYPERLINK("http://sedek.ru/upload/iblock/58c/baklazhan_tolstyy_barin.JPG","фото")</f>
        <v>фото</v>
      </c>
      <c r="C297" s="38"/>
      <c r="D297" s="38"/>
      <c r="E297" s="39"/>
      <c r="F297" s="39" t="s">
        <v>424</v>
      </c>
      <c r="G297" s="44">
        <v>0.2</v>
      </c>
      <c r="H297" s="39" t="s">
        <v>101</v>
      </c>
      <c r="I297" s="39" t="s">
        <v>102</v>
      </c>
      <c r="J297" s="41">
        <v>5000</v>
      </c>
      <c r="K297" s="42">
        <v>20.5</v>
      </c>
      <c r="L297" s="43"/>
      <c r="M297" s="43">
        <f>L297*K297</f>
        <v>0</v>
      </c>
      <c r="N297" s="35">
        <v>4690368007290</v>
      </c>
    </row>
    <row r="298" spans="1:14" ht="24" customHeight="1" outlineLevel="3" x14ac:dyDescent="0.2">
      <c r="A298" s="45">
        <v>14216</v>
      </c>
      <c r="B298" s="37" t="str">
        <f>HYPERLINK("http://sedek.ru/upload/iblock/6e4/baklazhan_universal_6.jpg","фото")</f>
        <v>фото</v>
      </c>
      <c r="C298" s="38"/>
      <c r="D298" s="38"/>
      <c r="E298" s="39"/>
      <c r="F298" s="39" t="s">
        <v>425</v>
      </c>
      <c r="G298" s="44">
        <v>0.2</v>
      </c>
      <c r="H298" s="39" t="s">
        <v>101</v>
      </c>
      <c r="I298" s="39" t="s">
        <v>102</v>
      </c>
      <c r="J298" s="41">
        <v>4000</v>
      </c>
      <c r="K298" s="42">
        <v>15.6</v>
      </c>
      <c r="L298" s="43"/>
      <c r="M298" s="43">
        <f>L298*K298</f>
        <v>0</v>
      </c>
      <c r="N298" s="35">
        <v>4607015185782</v>
      </c>
    </row>
    <row r="299" spans="1:14" ht="24" customHeight="1" outlineLevel="3" x14ac:dyDescent="0.2">
      <c r="A299" s="45">
        <v>14216</v>
      </c>
      <c r="B299" s="37" t="str">
        <f>HYPERLINK("http://sedek.ru/upload/iblock/6e4/baklazhan_universal_6.jpg","фото")</f>
        <v>фото</v>
      </c>
      <c r="C299" s="38"/>
      <c r="D299" s="38"/>
      <c r="E299" s="39"/>
      <c r="F299" s="39" t="s">
        <v>426</v>
      </c>
      <c r="G299" s="44">
        <v>0.2</v>
      </c>
      <c r="H299" s="39" t="s">
        <v>101</v>
      </c>
      <c r="I299" s="39" t="s">
        <v>287</v>
      </c>
      <c r="J299" s="41">
        <v>4000</v>
      </c>
      <c r="K299" s="42">
        <v>6.5</v>
      </c>
      <c r="L299" s="43"/>
      <c r="M299" s="43">
        <f>L299*K299</f>
        <v>0</v>
      </c>
      <c r="N299" s="35">
        <v>4607149402106</v>
      </c>
    </row>
    <row r="300" spans="1:14" ht="24" customHeight="1" outlineLevel="3" x14ac:dyDescent="0.2">
      <c r="A300" s="46">
        <v>15857</v>
      </c>
      <c r="B300" s="47" t="str">
        <f>HYPERLINK("http://sedek.ru/upload/iblock/30d/baklazhan_chernaya_luna.jpg","фото")</f>
        <v>фото</v>
      </c>
      <c r="C300" s="48"/>
      <c r="D300" s="48"/>
      <c r="E300" s="49"/>
      <c r="F300" s="49" t="s">
        <v>427</v>
      </c>
      <c r="G300" s="56">
        <v>0.2</v>
      </c>
      <c r="H300" s="49" t="s">
        <v>101</v>
      </c>
      <c r="I300" s="49" t="s">
        <v>102</v>
      </c>
      <c r="J300" s="51">
        <v>5000</v>
      </c>
      <c r="K300" s="52">
        <v>18.399999999999999</v>
      </c>
      <c r="L300" s="53"/>
      <c r="M300" s="53">
        <f>L300*K300</f>
        <v>0</v>
      </c>
      <c r="N300" s="35">
        <v>4607015185805</v>
      </c>
    </row>
    <row r="301" spans="1:14" ht="24" customHeight="1" outlineLevel="3" x14ac:dyDescent="0.2">
      <c r="A301" s="71">
        <v>15857</v>
      </c>
      <c r="B301" s="72" t="str">
        <f>HYPERLINK("http://sedek.ru/upload/iblock/30d/baklazhan_chernaya_luna.jpg","фото")</f>
        <v>фото</v>
      </c>
      <c r="C301" s="73"/>
      <c r="D301" s="73"/>
      <c r="E301" s="74"/>
      <c r="F301" s="74" t="s">
        <v>428</v>
      </c>
      <c r="G301" s="80">
        <v>0.2</v>
      </c>
      <c r="H301" s="74" t="s">
        <v>101</v>
      </c>
      <c r="I301" s="74" t="s">
        <v>287</v>
      </c>
      <c r="J301" s="76">
        <v>5000</v>
      </c>
      <c r="K301" s="77">
        <v>6.8</v>
      </c>
      <c r="L301" s="78"/>
      <c r="M301" s="78">
        <f>L301*K301</f>
        <v>0</v>
      </c>
      <c r="N301" s="79">
        <v>4690368004893</v>
      </c>
    </row>
    <row r="302" spans="1:14" ht="24" customHeight="1" outlineLevel="3" x14ac:dyDescent="0.2">
      <c r="A302" s="45">
        <v>14645</v>
      </c>
      <c r="B302" s="37" t="str">
        <f>HYPERLINK("http://sedek.ru/upload/iblock/54a/baklazhan_chernyy_brilliant.jpg","фото")</f>
        <v>фото</v>
      </c>
      <c r="C302" s="38"/>
      <c r="D302" s="38"/>
      <c r="E302" s="39"/>
      <c r="F302" s="39" t="s">
        <v>429</v>
      </c>
      <c r="G302" s="44">
        <v>0.2</v>
      </c>
      <c r="H302" s="39" t="s">
        <v>101</v>
      </c>
      <c r="I302" s="39" t="s">
        <v>102</v>
      </c>
      <c r="J302" s="41">
        <v>5000</v>
      </c>
      <c r="K302" s="42">
        <v>20.5</v>
      </c>
      <c r="L302" s="43"/>
      <c r="M302" s="43">
        <f>L302*K302</f>
        <v>0</v>
      </c>
      <c r="N302" s="35">
        <v>4607116267943</v>
      </c>
    </row>
    <row r="303" spans="1:14" ht="24" customHeight="1" outlineLevel="3" x14ac:dyDescent="0.2">
      <c r="A303" s="45">
        <v>16677</v>
      </c>
      <c r="B303" s="37" t="str">
        <f>HYPERLINK("http://sedek.ru/upload/iblock/cab/baklazhan_chernyy_voron.jpg","фото")</f>
        <v>фото</v>
      </c>
      <c r="C303" s="38"/>
      <c r="D303" s="38"/>
      <c r="E303" s="39"/>
      <c r="F303" s="39" t="s">
        <v>430</v>
      </c>
      <c r="G303" s="44">
        <v>0.2</v>
      </c>
      <c r="H303" s="39" t="s">
        <v>101</v>
      </c>
      <c r="I303" s="39" t="s">
        <v>102</v>
      </c>
      <c r="J303" s="41">
        <v>5000</v>
      </c>
      <c r="K303" s="42">
        <v>19.399999999999999</v>
      </c>
      <c r="L303" s="43"/>
      <c r="M303" s="43">
        <f>L303*K303</f>
        <v>0</v>
      </c>
      <c r="N303" s="35">
        <v>4690368015028</v>
      </c>
    </row>
    <row r="304" spans="1:14" ht="24" customHeight="1" outlineLevel="3" x14ac:dyDescent="0.2">
      <c r="A304" s="45">
        <v>14533</v>
      </c>
      <c r="B304" s="37" t="str">
        <f>HYPERLINK("http://sedek.ru/upload/iblock/6d4/baklazhan_chernyy_drakon_f1.jpg","фото")</f>
        <v>фото</v>
      </c>
      <c r="C304" s="38"/>
      <c r="D304" s="38" t="s">
        <v>266</v>
      </c>
      <c r="E304" s="39"/>
      <c r="F304" s="39" t="s">
        <v>431</v>
      </c>
      <c r="G304" s="44">
        <v>0.2</v>
      </c>
      <c r="H304" s="39" t="s">
        <v>101</v>
      </c>
      <c r="I304" s="39" t="s">
        <v>102</v>
      </c>
      <c r="J304" s="41">
        <v>5000</v>
      </c>
      <c r="K304" s="42">
        <v>22.7</v>
      </c>
      <c r="L304" s="43"/>
      <c r="M304" s="43">
        <f>L304*K304</f>
        <v>0</v>
      </c>
      <c r="N304" s="35">
        <v>4607015185812</v>
      </c>
    </row>
    <row r="305" spans="1:14" ht="24" customHeight="1" outlineLevel="3" x14ac:dyDescent="0.2">
      <c r="A305" s="45">
        <v>14533</v>
      </c>
      <c r="B305" s="37" t="str">
        <f>HYPERLINK("http://sedek.ru/upload/iblock/6d4/baklazhan_chernyy_drakon_f1.jpg","фото")</f>
        <v>фото</v>
      </c>
      <c r="C305" s="38"/>
      <c r="D305" s="38" t="s">
        <v>266</v>
      </c>
      <c r="E305" s="39"/>
      <c r="F305" s="39" t="s">
        <v>432</v>
      </c>
      <c r="G305" s="44">
        <v>0.2</v>
      </c>
      <c r="H305" s="39" t="s">
        <v>101</v>
      </c>
      <c r="I305" s="39" t="s">
        <v>287</v>
      </c>
      <c r="J305" s="41">
        <v>5000</v>
      </c>
      <c r="K305" s="42">
        <v>10.3</v>
      </c>
      <c r="L305" s="43"/>
      <c r="M305" s="43">
        <f>L305*K305</f>
        <v>0</v>
      </c>
      <c r="N305" s="35">
        <v>4607149407033</v>
      </c>
    </row>
    <row r="306" spans="1:14" ht="24" customHeight="1" outlineLevel="3" x14ac:dyDescent="0.2">
      <c r="A306" s="45">
        <v>14108</v>
      </c>
      <c r="B306" s="37" t="str">
        <f>HYPERLINK("http://sedek.ru/upload/iblock/bd3/baklazhan_chernyy_krasavets.jpg","фото")</f>
        <v>фото</v>
      </c>
      <c r="C306" s="38"/>
      <c r="D306" s="38"/>
      <c r="E306" s="39"/>
      <c r="F306" s="39" t="s">
        <v>433</v>
      </c>
      <c r="G306" s="44">
        <v>0.2</v>
      </c>
      <c r="H306" s="39" t="s">
        <v>101</v>
      </c>
      <c r="I306" s="39" t="s">
        <v>102</v>
      </c>
      <c r="J306" s="41">
        <v>4000</v>
      </c>
      <c r="K306" s="42">
        <v>15.6</v>
      </c>
      <c r="L306" s="43"/>
      <c r="M306" s="43">
        <f>L306*K306</f>
        <v>0</v>
      </c>
      <c r="N306" s="35">
        <v>4607149400706</v>
      </c>
    </row>
    <row r="307" spans="1:14" ht="24" customHeight="1" outlineLevel="3" x14ac:dyDescent="0.2">
      <c r="A307" s="45">
        <v>13880</v>
      </c>
      <c r="B307" s="37" t="str">
        <f>HYPERLINK("http://sedek.ru/upload/iblock/693/baklazhan_ermin_f1.jpg","фото")</f>
        <v>фото</v>
      </c>
      <c r="C307" s="38"/>
      <c r="D307" s="38"/>
      <c r="E307" s="39"/>
      <c r="F307" s="39" t="s">
        <v>434</v>
      </c>
      <c r="G307" s="44">
        <v>0.2</v>
      </c>
      <c r="H307" s="39" t="s">
        <v>101</v>
      </c>
      <c r="I307" s="39" t="s">
        <v>102</v>
      </c>
      <c r="J307" s="41">
        <v>4000</v>
      </c>
      <c r="K307" s="42">
        <v>20.5</v>
      </c>
      <c r="L307" s="43"/>
      <c r="M307" s="43">
        <f>L307*K307</f>
        <v>0</v>
      </c>
      <c r="N307" s="35">
        <v>4607116267103</v>
      </c>
    </row>
    <row r="308" spans="1:14" ht="24" customHeight="1" outlineLevel="3" x14ac:dyDescent="0.2">
      <c r="A308" s="45">
        <v>13880</v>
      </c>
      <c r="B308" s="37" t="str">
        <f>HYPERLINK("http://sedek.ru/upload/iblock/693/baklazhan_ermin_f1.jpg","фото")</f>
        <v>фото</v>
      </c>
      <c r="C308" s="38"/>
      <c r="D308" s="38"/>
      <c r="E308" s="39"/>
      <c r="F308" s="39" t="s">
        <v>435</v>
      </c>
      <c r="G308" s="44">
        <v>0.3</v>
      </c>
      <c r="H308" s="39" t="s">
        <v>101</v>
      </c>
      <c r="I308" s="39" t="s">
        <v>102</v>
      </c>
      <c r="J308" s="41">
        <v>4000</v>
      </c>
      <c r="K308" s="42">
        <v>20.5</v>
      </c>
      <c r="L308" s="43"/>
      <c r="M308" s="43">
        <f>L308*K308</f>
        <v>0</v>
      </c>
      <c r="N308" s="35">
        <v>4607116267103</v>
      </c>
    </row>
    <row r="309" spans="1:14" ht="24" customHeight="1" outlineLevel="3" x14ac:dyDescent="0.2">
      <c r="A309" s="45">
        <v>14469</v>
      </c>
      <c r="B309" s="37" t="str">
        <f>HYPERLINK("http://sedek.ru/upload/iblock/cd9/baklazhan_yatagan_f1.jpg","фото")</f>
        <v>фото</v>
      </c>
      <c r="C309" s="38"/>
      <c r="D309" s="38"/>
      <c r="E309" s="39"/>
      <c r="F309" s="39" t="s">
        <v>436</v>
      </c>
      <c r="G309" s="44">
        <v>0.2</v>
      </c>
      <c r="H309" s="39" t="s">
        <v>101</v>
      </c>
      <c r="I309" s="39" t="s">
        <v>102</v>
      </c>
      <c r="J309" s="41">
        <v>4000</v>
      </c>
      <c r="K309" s="42">
        <v>20.5</v>
      </c>
      <c r="L309" s="43"/>
      <c r="M309" s="43">
        <f>L309*K309</f>
        <v>0</v>
      </c>
      <c r="N309" s="35">
        <v>4607015185829</v>
      </c>
    </row>
    <row r="310" spans="1:14" ht="24" customHeight="1" outlineLevel="3" x14ac:dyDescent="0.2">
      <c r="A310" s="45">
        <v>14469</v>
      </c>
      <c r="B310" s="37" t="str">
        <f>HYPERLINK("http://sedek.ru/upload/iblock/cd9/baklazhan_yatagan_f1.jpg","фото")</f>
        <v>фото</v>
      </c>
      <c r="C310" s="38"/>
      <c r="D310" s="38"/>
      <c r="E310" s="39"/>
      <c r="F310" s="39" t="s">
        <v>437</v>
      </c>
      <c r="G310" s="44">
        <v>0.2</v>
      </c>
      <c r="H310" s="39" t="s">
        <v>101</v>
      </c>
      <c r="I310" s="39" t="s">
        <v>287</v>
      </c>
      <c r="J310" s="41">
        <v>4000</v>
      </c>
      <c r="K310" s="42">
        <v>6.8</v>
      </c>
      <c r="L310" s="43"/>
      <c r="M310" s="43">
        <f>L310*K310</f>
        <v>0</v>
      </c>
      <c r="N310" s="35">
        <v>4690368000888</v>
      </c>
    </row>
    <row r="311" spans="1:14" ht="12" customHeight="1" outlineLevel="2" x14ac:dyDescent="0.2">
      <c r="A311" s="22"/>
      <c r="B311" s="23"/>
      <c r="C311" s="23"/>
      <c r="D311" s="23"/>
      <c r="E311" s="24"/>
      <c r="F311" s="24" t="s">
        <v>438</v>
      </c>
      <c r="G311" s="24"/>
      <c r="H311" s="24"/>
      <c r="I311" s="24"/>
      <c r="J311" s="24"/>
      <c r="K311" s="24"/>
      <c r="L311" s="24"/>
      <c r="M311" s="24"/>
      <c r="N311" s="25"/>
    </row>
    <row r="312" spans="1:14" ht="36" customHeight="1" outlineLevel="3" x14ac:dyDescent="0.2">
      <c r="A312" s="36" t="s">
        <v>439</v>
      </c>
      <c r="B312" s="37" t="str">
        <f>HYPERLINK("http://sedek.ru/upload/iblock/dc5/bamiya_damskie_palchiki.jpg","фото")</f>
        <v>фото</v>
      </c>
      <c r="C312" s="38"/>
      <c r="D312" s="38"/>
      <c r="E312" s="39"/>
      <c r="F312" s="39" t="s">
        <v>440</v>
      </c>
      <c r="G312" s="40">
        <v>1</v>
      </c>
      <c r="H312" s="39" t="s">
        <v>101</v>
      </c>
      <c r="I312" s="39" t="s">
        <v>102</v>
      </c>
      <c r="J312" s="41">
        <v>1500</v>
      </c>
      <c r="K312" s="42">
        <v>21.8</v>
      </c>
      <c r="L312" s="43"/>
      <c r="M312" s="43">
        <f>L312*K312</f>
        <v>0</v>
      </c>
      <c r="N312" s="35">
        <v>4690368026888</v>
      </c>
    </row>
    <row r="313" spans="1:14" ht="36" customHeight="1" outlineLevel="3" x14ac:dyDescent="0.2">
      <c r="A313" s="36" t="s">
        <v>441</v>
      </c>
      <c r="B313" s="37" t="str">
        <f>HYPERLINK("http://sedek.ru/upload/iblock/35c/bamiya_krasavitsa.jpg","фото")</f>
        <v>фото</v>
      </c>
      <c r="C313" s="38"/>
      <c r="D313" s="38"/>
      <c r="E313" s="39"/>
      <c r="F313" s="39" t="s">
        <v>442</v>
      </c>
      <c r="G313" s="40">
        <v>1</v>
      </c>
      <c r="H313" s="39" t="s">
        <v>101</v>
      </c>
      <c r="I313" s="39" t="s">
        <v>102</v>
      </c>
      <c r="J313" s="41">
        <v>1500</v>
      </c>
      <c r="K313" s="42">
        <v>21.8</v>
      </c>
      <c r="L313" s="43"/>
      <c r="M313" s="43">
        <f>L313*K313</f>
        <v>0</v>
      </c>
      <c r="N313" s="35">
        <v>4690368026895</v>
      </c>
    </row>
    <row r="314" spans="1:14" ht="12" customHeight="1" outlineLevel="2" x14ac:dyDescent="0.2">
      <c r="A314" s="22"/>
      <c r="B314" s="23"/>
      <c r="C314" s="23"/>
      <c r="D314" s="23"/>
      <c r="E314" s="24"/>
      <c r="F314" s="24" t="s">
        <v>443</v>
      </c>
      <c r="G314" s="24"/>
      <c r="H314" s="24"/>
      <c r="I314" s="24"/>
      <c r="J314" s="24"/>
      <c r="K314" s="24"/>
      <c r="L314" s="24"/>
      <c r="M314" s="24"/>
      <c r="N314" s="25"/>
    </row>
    <row r="315" spans="1:14" ht="24" customHeight="1" outlineLevel="3" x14ac:dyDescent="0.2">
      <c r="A315" s="45">
        <v>14857</v>
      </c>
      <c r="B315" s="37" t="str">
        <f>HYPERLINK("http://sedek.ru/upload/iblock/54f/boby_belorusskie.jpg","фото")</f>
        <v>фото</v>
      </c>
      <c r="C315" s="38"/>
      <c r="D315" s="38"/>
      <c r="E315" s="39"/>
      <c r="F315" s="39" t="s">
        <v>444</v>
      </c>
      <c r="G315" s="40">
        <v>10</v>
      </c>
      <c r="H315" s="39" t="s">
        <v>101</v>
      </c>
      <c r="I315" s="39" t="s">
        <v>102</v>
      </c>
      <c r="J315" s="40">
        <v>500</v>
      </c>
      <c r="K315" s="42">
        <v>22.9</v>
      </c>
      <c r="L315" s="43"/>
      <c r="M315" s="43">
        <f>L315*K315</f>
        <v>0</v>
      </c>
      <c r="N315" s="35">
        <v>4690368007726</v>
      </c>
    </row>
    <row r="316" spans="1:14" ht="24" customHeight="1" outlineLevel="3" x14ac:dyDescent="0.2">
      <c r="A316" s="45">
        <v>14857</v>
      </c>
      <c r="B316" s="37" t="str">
        <f>HYPERLINK("http://sedek.ru/upload/iblock/54f/boby_belorusskie.jpg","фото")</f>
        <v>фото</v>
      </c>
      <c r="C316" s="38"/>
      <c r="D316" s="38"/>
      <c r="E316" s="39"/>
      <c r="F316" s="39" t="s">
        <v>445</v>
      </c>
      <c r="G316" s="40">
        <v>6</v>
      </c>
      <c r="H316" s="39" t="s">
        <v>101</v>
      </c>
      <c r="I316" s="39" t="s">
        <v>287</v>
      </c>
      <c r="J316" s="40">
        <v>500</v>
      </c>
      <c r="K316" s="42">
        <v>12.6</v>
      </c>
      <c r="L316" s="43"/>
      <c r="M316" s="43">
        <f>L316*K316</f>
        <v>0</v>
      </c>
      <c r="N316" s="35">
        <v>4690368004923</v>
      </c>
    </row>
    <row r="317" spans="1:14" ht="24" customHeight="1" outlineLevel="3" x14ac:dyDescent="0.2">
      <c r="A317" s="45">
        <v>16215</v>
      </c>
      <c r="B317" s="37" t="str">
        <f>HYPERLINK("http://sedek.ru/upload/iblock/776/boby_velena.jpg","фото")</f>
        <v>фото</v>
      </c>
      <c r="C317" s="38"/>
      <c r="D317" s="38"/>
      <c r="E317" s="39"/>
      <c r="F317" s="39" t="s">
        <v>446</v>
      </c>
      <c r="G317" s="40">
        <v>10</v>
      </c>
      <c r="H317" s="39" t="s">
        <v>101</v>
      </c>
      <c r="I317" s="39" t="s">
        <v>102</v>
      </c>
      <c r="J317" s="40">
        <v>500</v>
      </c>
      <c r="K317" s="42">
        <v>22.9</v>
      </c>
      <c r="L317" s="43"/>
      <c r="M317" s="43">
        <f>L317*K317</f>
        <v>0</v>
      </c>
      <c r="N317" s="35">
        <v>4690368007733</v>
      </c>
    </row>
    <row r="318" spans="1:14" ht="24" customHeight="1" outlineLevel="3" x14ac:dyDescent="0.2">
      <c r="A318" s="45">
        <v>16215</v>
      </c>
      <c r="B318" s="37" t="str">
        <f>HYPERLINK("http://sedek.ru/upload/iblock/776/boby_velena.jpg","фото")</f>
        <v>фото</v>
      </c>
      <c r="C318" s="38"/>
      <c r="D318" s="38"/>
      <c r="E318" s="39"/>
      <c r="F318" s="39" t="s">
        <v>447</v>
      </c>
      <c r="G318" s="40">
        <v>6</v>
      </c>
      <c r="H318" s="39" t="s">
        <v>101</v>
      </c>
      <c r="I318" s="39" t="s">
        <v>287</v>
      </c>
      <c r="J318" s="40">
        <v>500</v>
      </c>
      <c r="K318" s="42">
        <v>12.6</v>
      </c>
      <c r="L318" s="43"/>
      <c r="M318" s="43">
        <f>L318*K318</f>
        <v>0</v>
      </c>
      <c r="N318" s="35">
        <v>4690368004916</v>
      </c>
    </row>
    <row r="319" spans="1:14" ht="24" customHeight="1" outlineLevel="3" x14ac:dyDescent="0.2">
      <c r="A319" s="45">
        <v>14262</v>
      </c>
      <c r="B319" s="37" t="str">
        <f>HYPERLINK("http://sedek.ru/upload/iblock/2e2/boby_dachnik.jpg","фото")</f>
        <v>фото</v>
      </c>
      <c r="C319" s="38"/>
      <c r="D319" s="38"/>
      <c r="E319" s="39"/>
      <c r="F319" s="39" t="s">
        <v>448</v>
      </c>
      <c r="G319" s="40">
        <v>10</v>
      </c>
      <c r="H319" s="39" t="s">
        <v>101</v>
      </c>
      <c r="I319" s="39" t="s">
        <v>102</v>
      </c>
      <c r="J319" s="40">
        <v>500</v>
      </c>
      <c r="K319" s="42">
        <v>27.7</v>
      </c>
      <c r="L319" s="43"/>
      <c r="M319" s="43">
        <f>L319*K319</f>
        <v>0</v>
      </c>
      <c r="N319" s="35">
        <v>4607149409037</v>
      </c>
    </row>
    <row r="320" spans="1:14" ht="24" customHeight="1" outlineLevel="3" x14ac:dyDescent="0.2">
      <c r="A320" s="46">
        <v>16071</v>
      </c>
      <c r="B320" s="47" t="str">
        <f>HYPERLINK("http://sedek.ru/upload/iblock/205/boby_detskiy_vostorg.jpg","фото")</f>
        <v>фото</v>
      </c>
      <c r="C320" s="48"/>
      <c r="D320" s="48"/>
      <c r="E320" s="49"/>
      <c r="F320" s="49" t="s">
        <v>449</v>
      </c>
      <c r="G320" s="50">
        <v>10</v>
      </c>
      <c r="H320" s="49" t="s">
        <v>101</v>
      </c>
      <c r="I320" s="49" t="s">
        <v>102</v>
      </c>
      <c r="J320" s="50">
        <v>500</v>
      </c>
      <c r="K320" s="52">
        <v>28.1</v>
      </c>
      <c r="L320" s="53"/>
      <c r="M320" s="53">
        <f>L320*K320</f>
        <v>0</v>
      </c>
      <c r="N320" s="35">
        <v>4690368010191</v>
      </c>
    </row>
    <row r="321" spans="1:14" ht="24" customHeight="1" outlineLevel="3" x14ac:dyDescent="0.2">
      <c r="A321" s="71">
        <v>16071</v>
      </c>
      <c r="B321" s="72" t="str">
        <f>HYPERLINK("http://sedek.ru/upload/iblock/205/boby_detskiy_vostorg.jpg","фото")</f>
        <v>фото</v>
      </c>
      <c r="C321" s="73"/>
      <c r="D321" s="73"/>
      <c r="E321" s="74"/>
      <c r="F321" s="74" t="s">
        <v>450</v>
      </c>
      <c r="G321" s="75">
        <v>6</v>
      </c>
      <c r="H321" s="74" t="s">
        <v>101</v>
      </c>
      <c r="I321" s="74" t="s">
        <v>287</v>
      </c>
      <c r="J321" s="75">
        <v>500</v>
      </c>
      <c r="K321" s="77">
        <v>16.3</v>
      </c>
      <c r="L321" s="78"/>
      <c r="M321" s="78">
        <f>L321*K321</f>
        <v>0</v>
      </c>
      <c r="N321" s="79">
        <v>4690368008433</v>
      </c>
    </row>
    <row r="322" spans="1:14" ht="24" customHeight="1" outlineLevel="3" x14ac:dyDescent="0.2">
      <c r="A322" s="45">
        <v>15525</v>
      </c>
      <c r="B322" s="37" t="str">
        <f>HYPERLINK("http://sedek.ru/upload/iblock/db8/boby_lider.jpg","фото")</f>
        <v>фото</v>
      </c>
      <c r="C322" s="38"/>
      <c r="D322" s="38"/>
      <c r="E322" s="39"/>
      <c r="F322" s="39" t="s">
        <v>451</v>
      </c>
      <c r="G322" s="40">
        <v>10</v>
      </c>
      <c r="H322" s="39" t="s">
        <v>101</v>
      </c>
      <c r="I322" s="39" t="s">
        <v>102</v>
      </c>
      <c r="J322" s="40">
        <v>500</v>
      </c>
      <c r="K322" s="42">
        <v>27.7</v>
      </c>
      <c r="L322" s="43"/>
      <c r="M322" s="43">
        <f>L322*K322</f>
        <v>0</v>
      </c>
      <c r="N322" s="35">
        <v>4607015185836</v>
      </c>
    </row>
    <row r="323" spans="1:14" ht="24" customHeight="1" outlineLevel="3" x14ac:dyDescent="0.2">
      <c r="A323" s="45">
        <v>15525</v>
      </c>
      <c r="B323" s="37" t="str">
        <f>HYPERLINK("http://sedek.ru/upload/iblock/db8/boby_lider.jpg","фото")</f>
        <v>фото</v>
      </c>
      <c r="C323" s="38"/>
      <c r="D323" s="38"/>
      <c r="E323" s="39"/>
      <c r="F323" s="39" t="s">
        <v>452</v>
      </c>
      <c r="G323" s="40">
        <v>10</v>
      </c>
      <c r="H323" s="39" t="s">
        <v>101</v>
      </c>
      <c r="I323" s="39" t="s">
        <v>287</v>
      </c>
      <c r="J323" s="40">
        <v>500</v>
      </c>
      <c r="K323" s="42">
        <v>15.4</v>
      </c>
      <c r="L323" s="43"/>
      <c r="M323" s="43">
        <f>L323*K323</f>
        <v>0</v>
      </c>
      <c r="N323" s="35">
        <v>4690368004459</v>
      </c>
    </row>
    <row r="324" spans="1:14" ht="24" customHeight="1" outlineLevel="3" x14ac:dyDescent="0.2">
      <c r="A324" s="45">
        <v>14898</v>
      </c>
      <c r="B324" s="37" t="str">
        <f>HYPERLINK("http://sedek.ru/upload/iblock/81e/boby_optika.jpg","фото")</f>
        <v>фото</v>
      </c>
      <c r="C324" s="38"/>
      <c r="D324" s="38"/>
      <c r="E324" s="39"/>
      <c r="F324" s="39" t="s">
        <v>453</v>
      </c>
      <c r="G324" s="40">
        <v>10</v>
      </c>
      <c r="H324" s="39" t="s">
        <v>101</v>
      </c>
      <c r="I324" s="39" t="s">
        <v>102</v>
      </c>
      <c r="J324" s="40">
        <v>500</v>
      </c>
      <c r="K324" s="42">
        <v>26.5</v>
      </c>
      <c r="L324" s="43"/>
      <c r="M324" s="43">
        <f>L324*K324</f>
        <v>0</v>
      </c>
      <c r="N324" s="35">
        <v>4607015185843</v>
      </c>
    </row>
    <row r="325" spans="1:14" ht="24" customHeight="1" outlineLevel="3" x14ac:dyDescent="0.2">
      <c r="A325" s="45">
        <v>16350</v>
      </c>
      <c r="B325" s="37" t="str">
        <f>HYPERLINK("http://www.sedek.ru/upload/iblock/d3d/boby_russkie_chernye.jpg","фото")</f>
        <v>фото</v>
      </c>
      <c r="C325" s="38"/>
      <c r="D325" s="38"/>
      <c r="E325" s="39"/>
      <c r="F325" s="39" t="s">
        <v>454</v>
      </c>
      <c r="G325" s="40">
        <v>10</v>
      </c>
      <c r="H325" s="39" t="s">
        <v>101</v>
      </c>
      <c r="I325" s="39" t="s">
        <v>102</v>
      </c>
      <c r="J325" s="40">
        <v>500</v>
      </c>
      <c r="K325" s="42">
        <v>22.9</v>
      </c>
      <c r="L325" s="43"/>
      <c r="M325" s="43">
        <f>L325*K325</f>
        <v>0</v>
      </c>
      <c r="N325" s="35">
        <v>4690368007269</v>
      </c>
    </row>
    <row r="326" spans="1:14" ht="24" customHeight="1" outlineLevel="3" x14ac:dyDescent="0.2">
      <c r="A326" s="45">
        <v>16350</v>
      </c>
      <c r="B326" s="37" t="str">
        <f>HYPERLINK("http://www.sedek.ru/upload/iblock/d3d/boby_russkie_chernye.jpg","фото")</f>
        <v>фото</v>
      </c>
      <c r="C326" s="38"/>
      <c r="D326" s="38"/>
      <c r="E326" s="39"/>
      <c r="F326" s="39" t="s">
        <v>455</v>
      </c>
      <c r="G326" s="40">
        <v>6</v>
      </c>
      <c r="H326" s="39" t="s">
        <v>101</v>
      </c>
      <c r="I326" s="39" t="s">
        <v>287</v>
      </c>
      <c r="J326" s="40">
        <v>500</v>
      </c>
      <c r="K326" s="42">
        <v>12.9</v>
      </c>
      <c r="L326" s="43"/>
      <c r="M326" s="43">
        <f>L326*K326</f>
        <v>0</v>
      </c>
      <c r="N326" s="35">
        <v>4690368004909</v>
      </c>
    </row>
    <row r="327" spans="1:14" ht="24" customHeight="1" outlineLevel="3" x14ac:dyDescent="0.2">
      <c r="A327" s="45">
        <v>13561</v>
      </c>
      <c r="B327" s="37" t="str">
        <f>HYPERLINK("http://sedek.ru/upload/iblock/0a1/boby_trizhdy_belye.jpg","фото")</f>
        <v>фото</v>
      </c>
      <c r="C327" s="38"/>
      <c r="D327" s="38"/>
      <c r="E327" s="39"/>
      <c r="F327" s="39" t="s">
        <v>456</v>
      </c>
      <c r="G327" s="40">
        <v>10</v>
      </c>
      <c r="H327" s="39" t="s">
        <v>101</v>
      </c>
      <c r="I327" s="39" t="s">
        <v>102</v>
      </c>
      <c r="J327" s="40">
        <v>500</v>
      </c>
      <c r="K327" s="42">
        <v>29.6</v>
      </c>
      <c r="L327" s="43"/>
      <c r="M327" s="43">
        <f>L327*K327</f>
        <v>0</v>
      </c>
      <c r="N327" s="35">
        <v>4607015185850</v>
      </c>
    </row>
    <row r="328" spans="1:14" ht="24" customHeight="1" outlineLevel="3" x14ac:dyDescent="0.2">
      <c r="A328" s="45">
        <v>13561</v>
      </c>
      <c r="B328" s="37" t="str">
        <f>HYPERLINK("http://sedek.ru/upload/iblock/0a1/boby_trizhdy_belye.jpg","фото")</f>
        <v>фото</v>
      </c>
      <c r="C328" s="38"/>
      <c r="D328" s="38"/>
      <c r="E328" s="39"/>
      <c r="F328" s="39" t="s">
        <v>457</v>
      </c>
      <c r="G328" s="40">
        <v>10</v>
      </c>
      <c r="H328" s="39" t="s">
        <v>101</v>
      </c>
      <c r="I328" s="39" t="s">
        <v>287</v>
      </c>
      <c r="J328" s="40">
        <v>500</v>
      </c>
      <c r="K328" s="42">
        <v>18.899999999999999</v>
      </c>
      <c r="L328" s="43"/>
      <c r="M328" s="43">
        <f>L328*K328</f>
        <v>0</v>
      </c>
      <c r="N328" s="35">
        <v>4690368004466</v>
      </c>
    </row>
    <row r="329" spans="1:14" ht="24" customHeight="1" outlineLevel="3" x14ac:dyDescent="0.2">
      <c r="A329" s="45">
        <v>16375</v>
      </c>
      <c r="B329" s="37" t="str">
        <f>HYPERLINK("http://www.sedek.ru/upload/iblock/e94/boby_yankel_byaly.jpg","фото")</f>
        <v>фото</v>
      </c>
      <c r="C329" s="38"/>
      <c r="D329" s="38"/>
      <c r="E329" s="39"/>
      <c r="F329" s="39" t="s">
        <v>458</v>
      </c>
      <c r="G329" s="40">
        <v>10</v>
      </c>
      <c r="H329" s="39" t="s">
        <v>101</v>
      </c>
      <c r="I329" s="39" t="s">
        <v>287</v>
      </c>
      <c r="J329" s="40">
        <v>500</v>
      </c>
      <c r="K329" s="42">
        <v>16.600000000000001</v>
      </c>
      <c r="L329" s="43"/>
      <c r="M329" s="43">
        <f>L329*K329</f>
        <v>0</v>
      </c>
      <c r="N329" s="35">
        <v>4690368004473</v>
      </c>
    </row>
    <row r="330" spans="1:14" ht="12" customHeight="1" outlineLevel="2" x14ac:dyDescent="0.2">
      <c r="A330" s="22"/>
      <c r="B330" s="23"/>
      <c r="C330" s="23"/>
      <c r="D330" s="23"/>
      <c r="E330" s="24"/>
      <c r="F330" s="24" t="s">
        <v>459</v>
      </c>
      <c r="G330" s="24"/>
      <c r="H330" s="24"/>
      <c r="I330" s="24"/>
      <c r="J330" s="24"/>
      <c r="K330" s="24"/>
      <c r="L330" s="24"/>
      <c r="M330" s="24"/>
      <c r="N330" s="25"/>
    </row>
    <row r="331" spans="1:14" ht="24" customHeight="1" outlineLevel="3" x14ac:dyDescent="0.2">
      <c r="A331" s="45">
        <v>15124</v>
      </c>
      <c r="B331" s="37" t="str">
        <f>HYPERLINK("http://sedek.ru/upload/iblock/62c/bryukva_vilma.jpg","фото")</f>
        <v>фото</v>
      </c>
      <c r="C331" s="38"/>
      <c r="D331" s="38"/>
      <c r="E331" s="39"/>
      <c r="F331" s="39" t="s">
        <v>460</v>
      </c>
      <c r="G331" s="44">
        <v>0.5</v>
      </c>
      <c r="H331" s="39" t="s">
        <v>101</v>
      </c>
      <c r="I331" s="39" t="s">
        <v>102</v>
      </c>
      <c r="J331" s="41">
        <v>2500</v>
      </c>
      <c r="K331" s="42">
        <v>18.8</v>
      </c>
      <c r="L331" s="43"/>
      <c r="M331" s="43">
        <f>L331*K331</f>
        <v>0</v>
      </c>
      <c r="N331" s="35">
        <v>4607015185867</v>
      </c>
    </row>
    <row r="332" spans="1:14" ht="24" customHeight="1" outlineLevel="3" x14ac:dyDescent="0.2">
      <c r="A332" s="45">
        <v>15124</v>
      </c>
      <c r="B332" s="37" t="str">
        <f>HYPERLINK("http://sedek.ru/upload/iblock/62c/bryukva_vilma.jpg","фото")</f>
        <v>фото</v>
      </c>
      <c r="C332" s="38"/>
      <c r="D332" s="38"/>
      <c r="E332" s="39"/>
      <c r="F332" s="39" t="s">
        <v>461</v>
      </c>
      <c r="G332" s="44">
        <v>0.5</v>
      </c>
      <c r="H332" s="39" t="s">
        <v>101</v>
      </c>
      <c r="I332" s="39" t="s">
        <v>287</v>
      </c>
      <c r="J332" s="41">
        <v>2500</v>
      </c>
      <c r="K332" s="42">
        <v>6.5</v>
      </c>
      <c r="L332" s="43"/>
      <c r="M332" s="43">
        <f>L332*K332</f>
        <v>0</v>
      </c>
      <c r="N332" s="35">
        <v>4607149407057</v>
      </c>
    </row>
    <row r="333" spans="1:14" ht="24" customHeight="1" outlineLevel="3" x14ac:dyDescent="0.2">
      <c r="A333" s="46">
        <v>15238</v>
      </c>
      <c r="B333" s="47" t="str">
        <f>HYPERLINK("http://www.sedek.ru/upload/iblock/133/bryukva_detskaya_lyubov.jpg","фото")</f>
        <v>фото</v>
      </c>
      <c r="C333" s="48"/>
      <c r="D333" s="48"/>
      <c r="E333" s="49"/>
      <c r="F333" s="49" t="s">
        <v>462</v>
      </c>
      <c r="G333" s="56">
        <v>0.5</v>
      </c>
      <c r="H333" s="49" t="s">
        <v>101</v>
      </c>
      <c r="I333" s="49" t="s">
        <v>102</v>
      </c>
      <c r="J333" s="51">
        <v>2500</v>
      </c>
      <c r="K333" s="52">
        <v>19.5</v>
      </c>
      <c r="L333" s="53"/>
      <c r="M333" s="53">
        <f>L333*K333</f>
        <v>0</v>
      </c>
      <c r="N333" s="35">
        <v>4607149403073</v>
      </c>
    </row>
    <row r="334" spans="1:14" ht="24" customHeight="1" outlineLevel="3" x14ac:dyDescent="0.2">
      <c r="A334" s="71">
        <v>15238</v>
      </c>
      <c r="B334" s="72" t="str">
        <f>HYPERLINK("http://www.sedek.ru/upload/iblock/133/bryukva_detskaya_lyubov.jpg","фото")</f>
        <v>фото</v>
      </c>
      <c r="C334" s="73"/>
      <c r="D334" s="73"/>
      <c r="E334" s="74"/>
      <c r="F334" s="74" t="s">
        <v>463</v>
      </c>
      <c r="G334" s="80">
        <v>0.5</v>
      </c>
      <c r="H334" s="74" t="s">
        <v>101</v>
      </c>
      <c r="I334" s="74" t="s">
        <v>287</v>
      </c>
      <c r="J334" s="76">
        <v>2500</v>
      </c>
      <c r="K334" s="77">
        <v>6.8</v>
      </c>
      <c r="L334" s="78"/>
      <c r="M334" s="78">
        <f>L334*K334</f>
        <v>0</v>
      </c>
      <c r="N334" s="79">
        <v>4607149407040</v>
      </c>
    </row>
    <row r="335" spans="1:14" ht="24" customHeight="1" outlineLevel="3" x14ac:dyDescent="0.2">
      <c r="A335" s="45">
        <v>14707</v>
      </c>
      <c r="B335" s="37" t="str">
        <f>HYPERLINK("http://sedek.ru/upload/iblock/e63/bryukva_svetlaya_mechta.jpg","фото")</f>
        <v>фото</v>
      </c>
      <c r="C335" s="38"/>
      <c r="D335" s="38"/>
      <c r="E335" s="39"/>
      <c r="F335" s="39" t="s">
        <v>464</v>
      </c>
      <c r="G335" s="44">
        <v>0.5</v>
      </c>
      <c r="H335" s="39" t="s">
        <v>101</v>
      </c>
      <c r="I335" s="39" t="s">
        <v>102</v>
      </c>
      <c r="J335" s="41">
        <v>2500</v>
      </c>
      <c r="K335" s="42">
        <v>20.5</v>
      </c>
      <c r="L335" s="43"/>
      <c r="M335" s="43">
        <f>L335*K335</f>
        <v>0</v>
      </c>
      <c r="N335" s="35">
        <v>4690368004251</v>
      </c>
    </row>
    <row r="336" spans="1:14" ht="12" customHeight="1" outlineLevel="2" x14ac:dyDescent="0.2">
      <c r="A336" s="22"/>
      <c r="B336" s="23"/>
      <c r="C336" s="23"/>
      <c r="D336" s="23"/>
      <c r="E336" s="24"/>
      <c r="F336" s="24" t="s">
        <v>465</v>
      </c>
      <c r="G336" s="24"/>
      <c r="H336" s="24"/>
      <c r="I336" s="24"/>
      <c r="J336" s="24"/>
      <c r="K336" s="24"/>
      <c r="L336" s="24"/>
      <c r="M336" s="24"/>
      <c r="N336" s="25"/>
    </row>
    <row r="337" spans="1:14" ht="24" customHeight="1" outlineLevel="3" x14ac:dyDescent="0.2">
      <c r="A337" s="36" t="s">
        <v>466</v>
      </c>
      <c r="B337" s="37" t="str">
        <f>HYPERLINK("http://sedek.ru/upload/iblock/15d/vigna_kudesnitsa.jpg","фото")</f>
        <v>фото</v>
      </c>
      <c r="C337" s="38"/>
      <c r="D337" s="38"/>
      <c r="E337" s="39"/>
      <c r="F337" s="39" t="s">
        <v>467</v>
      </c>
      <c r="G337" s="40">
        <v>3</v>
      </c>
      <c r="H337" s="39" t="s">
        <v>101</v>
      </c>
      <c r="I337" s="39" t="s">
        <v>102</v>
      </c>
      <c r="J337" s="41">
        <v>1500</v>
      </c>
      <c r="K337" s="42">
        <v>35.5</v>
      </c>
      <c r="L337" s="43"/>
      <c r="M337" s="43">
        <f>L337*K337</f>
        <v>0</v>
      </c>
      <c r="N337" s="35">
        <v>4690368027151</v>
      </c>
    </row>
    <row r="338" spans="1:14" ht="24" customHeight="1" outlineLevel="3" x14ac:dyDescent="0.2">
      <c r="A338" s="36" t="s">
        <v>468</v>
      </c>
      <c r="B338" s="37" t="str">
        <f>HYPERLINK("http://sedek.ru/upload/iblock/af7/fasol_ovoshchnaya_fakir.jpg","фото")</f>
        <v>фото</v>
      </c>
      <c r="C338" s="38"/>
      <c r="D338" s="38"/>
      <c r="E338" s="39"/>
      <c r="F338" s="39" t="s">
        <v>469</v>
      </c>
      <c r="G338" s="40">
        <v>3</v>
      </c>
      <c r="H338" s="39" t="s">
        <v>101</v>
      </c>
      <c r="I338" s="39" t="s">
        <v>102</v>
      </c>
      <c r="J338" s="41">
        <v>1500</v>
      </c>
      <c r="K338" s="42">
        <v>35.5</v>
      </c>
      <c r="L338" s="43"/>
      <c r="M338" s="43">
        <f>L338*K338</f>
        <v>0</v>
      </c>
      <c r="N338" s="35">
        <v>4690368026697</v>
      </c>
    </row>
    <row r="339" spans="1:14" ht="12" customHeight="1" outlineLevel="2" x14ac:dyDescent="0.2">
      <c r="A339" s="22"/>
      <c r="B339" s="23"/>
      <c r="C339" s="23"/>
      <c r="D339" s="23"/>
      <c r="E339" s="24"/>
      <c r="F339" s="24" t="s">
        <v>470</v>
      </c>
      <c r="G339" s="24"/>
      <c r="H339" s="24"/>
      <c r="I339" s="24"/>
      <c r="J339" s="24"/>
      <c r="K339" s="24"/>
      <c r="L339" s="24"/>
      <c r="M339" s="24"/>
      <c r="N339" s="25"/>
    </row>
    <row r="340" spans="1:14" ht="36" customHeight="1" outlineLevel="3" x14ac:dyDescent="0.2">
      <c r="A340" s="45">
        <v>14651</v>
      </c>
      <c r="B340" s="37" t="str">
        <f>HYPERLINK("http://sedek.ru/upload/iblock/51e/travosmes_sanshayn.jpg","фото")</f>
        <v>фото</v>
      </c>
      <c r="C340" s="38"/>
      <c r="D340" s="38"/>
      <c r="E340" s="39"/>
      <c r="F340" s="39" t="s">
        <v>471</v>
      </c>
      <c r="G340" s="39"/>
      <c r="H340" s="39"/>
      <c r="I340" s="39"/>
      <c r="J340" s="40">
        <v>10</v>
      </c>
      <c r="K340" s="42">
        <v>422.9</v>
      </c>
      <c r="L340" s="43"/>
      <c r="M340" s="43">
        <f>L340*K340</f>
        <v>0</v>
      </c>
      <c r="N340" s="35">
        <v>4607116269824</v>
      </c>
    </row>
    <row r="341" spans="1:14" ht="12" customHeight="1" outlineLevel="2" x14ac:dyDescent="0.2">
      <c r="A341" s="22"/>
      <c r="B341" s="23"/>
      <c r="C341" s="23"/>
      <c r="D341" s="23"/>
      <c r="E341" s="24"/>
      <c r="F341" s="24" t="s">
        <v>472</v>
      </c>
      <c r="G341" s="24"/>
      <c r="H341" s="24"/>
      <c r="I341" s="24"/>
      <c r="J341" s="24"/>
      <c r="K341" s="24"/>
      <c r="L341" s="24"/>
      <c r="M341" s="24"/>
      <c r="N341" s="25"/>
    </row>
    <row r="342" spans="1:14" ht="24" customHeight="1" outlineLevel="3" x14ac:dyDescent="0.2">
      <c r="A342" s="36" t="s">
        <v>473</v>
      </c>
      <c r="B342" s="37" t="str">
        <f>HYPERLINK("http://sedek.ru/upload/iblock/8fb/gorokh_azhur.jpg","фото")</f>
        <v>фото</v>
      </c>
      <c r="C342" s="38"/>
      <c r="D342" s="38"/>
      <c r="E342" s="39" t="s">
        <v>263</v>
      </c>
      <c r="F342" s="39" t="s">
        <v>474</v>
      </c>
      <c r="G342" s="40">
        <v>8</v>
      </c>
      <c r="H342" s="39" t="s">
        <v>101</v>
      </c>
      <c r="I342" s="39" t="s">
        <v>102</v>
      </c>
      <c r="J342" s="40">
        <v>500</v>
      </c>
      <c r="K342" s="42">
        <v>19.3</v>
      </c>
      <c r="L342" s="43"/>
      <c r="M342" s="43">
        <f>L342*K342</f>
        <v>0</v>
      </c>
      <c r="N342" s="35">
        <v>4690368028516</v>
      </c>
    </row>
    <row r="343" spans="1:14" ht="24" customHeight="1" outlineLevel="3" x14ac:dyDescent="0.2">
      <c r="A343" s="45">
        <v>13782</v>
      </c>
      <c r="B343" s="37" t="str">
        <f>HYPERLINK("http://sedek.ru/upload/iblock/020/gorokh_azart.jpg","фото")</f>
        <v>фото</v>
      </c>
      <c r="C343" s="38"/>
      <c r="D343" s="38"/>
      <c r="E343" s="39"/>
      <c r="F343" s="39" t="s">
        <v>475</v>
      </c>
      <c r="G343" s="40">
        <v>8</v>
      </c>
      <c r="H343" s="39" t="s">
        <v>101</v>
      </c>
      <c r="I343" s="39" t="s">
        <v>102</v>
      </c>
      <c r="J343" s="40">
        <v>500</v>
      </c>
      <c r="K343" s="42">
        <v>20</v>
      </c>
      <c r="L343" s="43"/>
      <c r="M343" s="43">
        <f>L343*K343</f>
        <v>0</v>
      </c>
      <c r="N343" s="35">
        <v>4607015185942</v>
      </c>
    </row>
    <row r="344" spans="1:14" ht="24" customHeight="1" outlineLevel="3" x14ac:dyDescent="0.2">
      <c r="A344" s="45">
        <v>14075</v>
      </c>
      <c r="B344" s="37" t="str">
        <f>HYPERLINK("http://sedek.ru/upload/iblock/101/gorokh_aleksandra.JPG","фото")</f>
        <v>фото</v>
      </c>
      <c r="C344" s="38"/>
      <c r="D344" s="38"/>
      <c r="E344" s="39"/>
      <c r="F344" s="39" t="s">
        <v>476</v>
      </c>
      <c r="G344" s="40">
        <v>5</v>
      </c>
      <c r="H344" s="39" t="s">
        <v>101</v>
      </c>
      <c r="I344" s="39" t="s">
        <v>102</v>
      </c>
      <c r="J344" s="40">
        <v>600</v>
      </c>
      <c r="K344" s="42">
        <v>20</v>
      </c>
      <c r="L344" s="43"/>
      <c r="M344" s="43">
        <f>L344*K344</f>
        <v>0</v>
      </c>
      <c r="N344" s="35">
        <v>4607015185959</v>
      </c>
    </row>
    <row r="345" spans="1:14" ht="24" customHeight="1" outlineLevel="3" x14ac:dyDescent="0.2">
      <c r="A345" s="45">
        <v>14075</v>
      </c>
      <c r="B345" s="37" t="str">
        <f>HYPERLINK("http://sedek.ru/upload/iblock/101/gorokh_aleksandra.JPG","фото")</f>
        <v>фото</v>
      </c>
      <c r="C345" s="38"/>
      <c r="D345" s="38"/>
      <c r="E345" s="39"/>
      <c r="F345" s="39" t="s">
        <v>477</v>
      </c>
      <c r="G345" s="40">
        <v>5</v>
      </c>
      <c r="H345" s="39" t="s">
        <v>101</v>
      </c>
      <c r="I345" s="39" t="s">
        <v>287</v>
      </c>
      <c r="J345" s="40">
        <v>600</v>
      </c>
      <c r="K345" s="42">
        <v>7.8</v>
      </c>
      <c r="L345" s="43"/>
      <c r="M345" s="43">
        <f>L345*K345</f>
        <v>0</v>
      </c>
      <c r="N345" s="35">
        <v>4607149408221</v>
      </c>
    </row>
    <row r="346" spans="1:14" ht="24" customHeight="1" outlineLevel="3" x14ac:dyDescent="0.2">
      <c r="A346" s="36" t="s">
        <v>478</v>
      </c>
      <c r="B346" s="37" t="str">
        <f>HYPERLINK("http://www.sedek.ru/upload/iblock/9f4/gorokh_alfa.jpg","фото")</f>
        <v>фото</v>
      </c>
      <c r="C346" s="38"/>
      <c r="D346" s="38"/>
      <c r="E346" s="39"/>
      <c r="F346" s="39" t="s">
        <v>479</v>
      </c>
      <c r="G346" s="40">
        <v>8</v>
      </c>
      <c r="H346" s="39" t="s">
        <v>101</v>
      </c>
      <c r="I346" s="39" t="s">
        <v>102</v>
      </c>
      <c r="J346" s="57"/>
      <c r="K346" s="42">
        <v>20</v>
      </c>
      <c r="L346" s="43"/>
      <c r="M346" s="43">
        <f>L346*K346</f>
        <v>0</v>
      </c>
      <c r="N346" s="35">
        <v>4690368015929</v>
      </c>
    </row>
    <row r="347" spans="1:14" ht="24" customHeight="1" outlineLevel="3" x14ac:dyDescent="0.2">
      <c r="A347" s="45">
        <v>15427</v>
      </c>
      <c r="B347" s="37" t="str">
        <f>HYPERLINK("http://sedek.ru/upload/iblock/088/gorokh_ambroziya.jpg","фото")</f>
        <v>фото</v>
      </c>
      <c r="C347" s="38"/>
      <c r="D347" s="38"/>
      <c r="E347" s="39"/>
      <c r="F347" s="39" t="s">
        <v>480</v>
      </c>
      <c r="G347" s="40">
        <v>5</v>
      </c>
      <c r="H347" s="39" t="s">
        <v>101</v>
      </c>
      <c r="I347" s="39" t="s">
        <v>102</v>
      </c>
      <c r="J347" s="40">
        <v>600</v>
      </c>
      <c r="K347" s="42">
        <v>15.6</v>
      </c>
      <c r="L347" s="43"/>
      <c r="M347" s="43">
        <f>L347*K347</f>
        <v>0</v>
      </c>
      <c r="N347" s="35">
        <v>4690368010948</v>
      </c>
    </row>
    <row r="348" spans="1:14" ht="24" customHeight="1" outlineLevel="3" x14ac:dyDescent="0.2">
      <c r="A348" s="45">
        <v>15367</v>
      </c>
      <c r="B348" s="37" t="str">
        <f>HYPERLINK("http://sedek.ru/upload/iblock/43a/gorokh_atlant.jpg","фото")</f>
        <v>фото</v>
      </c>
      <c r="C348" s="38"/>
      <c r="D348" s="38"/>
      <c r="E348" s="39"/>
      <c r="F348" s="39" t="s">
        <v>481</v>
      </c>
      <c r="G348" s="40">
        <v>5</v>
      </c>
      <c r="H348" s="39" t="s">
        <v>101</v>
      </c>
      <c r="I348" s="39" t="s">
        <v>102</v>
      </c>
      <c r="J348" s="40">
        <v>600</v>
      </c>
      <c r="K348" s="42">
        <v>20</v>
      </c>
      <c r="L348" s="43"/>
      <c r="M348" s="43">
        <f>L348*K348</f>
        <v>0</v>
      </c>
      <c r="N348" s="35">
        <v>4607149400522</v>
      </c>
    </row>
    <row r="349" spans="1:14" ht="24" customHeight="1" outlineLevel="3" x14ac:dyDescent="0.2">
      <c r="A349" s="45">
        <v>15367</v>
      </c>
      <c r="B349" s="37" t="str">
        <f>HYPERLINK("http://sedek.ru/upload/iblock/43a/gorokh_atlant.jpg","фото")</f>
        <v>фото</v>
      </c>
      <c r="C349" s="38"/>
      <c r="D349" s="38"/>
      <c r="E349" s="39"/>
      <c r="F349" s="39" t="s">
        <v>482</v>
      </c>
      <c r="G349" s="40">
        <v>5</v>
      </c>
      <c r="H349" s="39" t="s">
        <v>101</v>
      </c>
      <c r="I349" s="39" t="s">
        <v>287</v>
      </c>
      <c r="J349" s="40">
        <v>600</v>
      </c>
      <c r="K349" s="42">
        <v>7.3</v>
      </c>
      <c r="L349" s="43"/>
      <c r="M349" s="43">
        <f>L349*K349</f>
        <v>0</v>
      </c>
      <c r="N349" s="35">
        <v>4607149405367</v>
      </c>
    </row>
    <row r="350" spans="1:14" ht="24" customHeight="1" outlineLevel="3" x14ac:dyDescent="0.2">
      <c r="A350" s="46">
        <v>16468</v>
      </c>
      <c r="B350" s="47" t="str">
        <f>HYPERLINK("http://sedek.ru/upload/iblock/c12/gorokh_babushkin_syurpriz.jpg","фото")</f>
        <v>фото</v>
      </c>
      <c r="C350" s="48"/>
      <c r="D350" s="48"/>
      <c r="E350" s="49"/>
      <c r="F350" s="49" t="s">
        <v>483</v>
      </c>
      <c r="G350" s="50">
        <v>8</v>
      </c>
      <c r="H350" s="49" t="s">
        <v>101</v>
      </c>
      <c r="I350" s="49" t="s">
        <v>102</v>
      </c>
      <c r="J350" s="50">
        <v>500</v>
      </c>
      <c r="K350" s="52">
        <v>19</v>
      </c>
      <c r="L350" s="53"/>
      <c r="M350" s="53">
        <f>L350*K350</f>
        <v>0</v>
      </c>
      <c r="N350" s="35">
        <v>4690368007351</v>
      </c>
    </row>
    <row r="351" spans="1:14" ht="24" customHeight="1" outlineLevel="3" x14ac:dyDescent="0.2">
      <c r="A351" s="45">
        <v>15352</v>
      </c>
      <c r="B351" s="37" t="str">
        <f>HYPERLINK("http://sedek.ru/upload/iblock/d2c/gorokh_vesyelye_rebyata.jpg","фото")</f>
        <v>фото</v>
      </c>
      <c r="C351" s="38"/>
      <c r="D351" s="38"/>
      <c r="E351" s="39"/>
      <c r="F351" s="39" t="s">
        <v>484</v>
      </c>
      <c r="G351" s="40">
        <v>8</v>
      </c>
      <c r="H351" s="39" t="s">
        <v>101</v>
      </c>
      <c r="I351" s="39" t="s">
        <v>102</v>
      </c>
      <c r="J351" s="40">
        <v>500</v>
      </c>
      <c r="K351" s="42">
        <v>20</v>
      </c>
      <c r="L351" s="43"/>
      <c r="M351" s="43">
        <f>L351*K351</f>
        <v>0</v>
      </c>
      <c r="N351" s="35">
        <v>4690368007511</v>
      </c>
    </row>
    <row r="352" spans="1:14" ht="24" customHeight="1" outlineLevel="3" x14ac:dyDescent="0.2">
      <c r="A352" s="45">
        <v>15528</v>
      </c>
      <c r="B352" s="37" t="str">
        <f>HYPERLINK("http://sedek.ru/upload/iblock/e54/gorokh_vnuchok.jpg","фото")</f>
        <v>фото</v>
      </c>
      <c r="C352" s="38"/>
      <c r="D352" s="38"/>
      <c r="E352" s="39"/>
      <c r="F352" s="39" t="s">
        <v>485</v>
      </c>
      <c r="G352" s="40">
        <v>8</v>
      </c>
      <c r="H352" s="39" t="s">
        <v>101</v>
      </c>
      <c r="I352" s="39" t="s">
        <v>102</v>
      </c>
      <c r="J352" s="40">
        <v>500</v>
      </c>
      <c r="K352" s="42">
        <v>20</v>
      </c>
      <c r="L352" s="43"/>
      <c r="M352" s="43">
        <f>L352*K352</f>
        <v>0</v>
      </c>
      <c r="N352" s="35">
        <v>4690368007368</v>
      </c>
    </row>
    <row r="353" spans="1:14" ht="24" customHeight="1" outlineLevel="3" x14ac:dyDescent="0.2">
      <c r="A353" s="36" t="s">
        <v>486</v>
      </c>
      <c r="B353" s="37" t="str">
        <f>HYPERLINK("http://sedek.ru/upload/iblock/2be/gorokh_gerakl.jpg","фото")</f>
        <v>фото</v>
      </c>
      <c r="C353" s="38"/>
      <c r="D353" s="38"/>
      <c r="E353" s="39"/>
      <c r="F353" s="39" t="s">
        <v>487</v>
      </c>
      <c r="G353" s="40">
        <v>8</v>
      </c>
      <c r="H353" s="39" t="s">
        <v>101</v>
      </c>
      <c r="I353" s="39" t="s">
        <v>102</v>
      </c>
      <c r="J353" s="40">
        <v>500</v>
      </c>
      <c r="K353" s="42">
        <v>20</v>
      </c>
      <c r="L353" s="43"/>
      <c r="M353" s="43">
        <f>L353*K353</f>
        <v>0</v>
      </c>
      <c r="N353" s="35">
        <v>4690368026604</v>
      </c>
    </row>
    <row r="354" spans="1:14" ht="24" customHeight="1" outlineLevel="3" x14ac:dyDescent="0.2">
      <c r="A354" s="45">
        <v>15308</v>
      </c>
      <c r="B354" s="37" t="str">
        <f>HYPERLINK("http://sedek.ru/upload/iblock/d0b/gorokh_glorioza.jpg","фото")</f>
        <v>фото</v>
      </c>
      <c r="C354" s="38"/>
      <c r="D354" s="38"/>
      <c r="E354" s="39"/>
      <c r="F354" s="39" t="s">
        <v>488</v>
      </c>
      <c r="G354" s="40">
        <v>8</v>
      </c>
      <c r="H354" s="39" t="s">
        <v>101</v>
      </c>
      <c r="I354" s="39" t="s">
        <v>102</v>
      </c>
      <c r="J354" s="40">
        <v>500</v>
      </c>
      <c r="K354" s="42">
        <v>15.6</v>
      </c>
      <c r="L354" s="43"/>
      <c r="M354" s="43">
        <f>L354*K354</f>
        <v>0</v>
      </c>
      <c r="N354" s="35">
        <v>4690368010986</v>
      </c>
    </row>
    <row r="355" spans="1:14" ht="24" customHeight="1" outlineLevel="3" x14ac:dyDescent="0.2">
      <c r="A355" s="45">
        <v>15309</v>
      </c>
      <c r="B355" s="37" t="str">
        <f>HYPERLINK("http://sedek.ru/upload/iblock/8a4/gorokh_grezy.jpg","фото")</f>
        <v>фото</v>
      </c>
      <c r="C355" s="38"/>
      <c r="D355" s="38"/>
      <c r="E355" s="39"/>
      <c r="F355" s="39" t="s">
        <v>489</v>
      </c>
      <c r="G355" s="40">
        <v>5</v>
      </c>
      <c r="H355" s="39" t="s">
        <v>101</v>
      </c>
      <c r="I355" s="39" t="s">
        <v>102</v>
      </c>
      <c r="J355" s="40">
        <v>600</v>
      </c>
      <c r="K355" s="42">
        <v>20</v>
      </c>
      <c r="L355" s="43"/>
      <c r="M355" s="43">
        <f>L355*K355</f>
        <v>0</v>
      </c>
      <c r="N355" s="35">
        <v>4607015185966</v>
      </c>
    </row>
    <row r="356" spans="1:14" ht="24" customHeight="1" outlineLevel="3" x14ac:dyDescent="0.2">
      <c r="A356" s="45">
        <v>15309</v>
      </c>
      <c r="B356" s="37" t="str">
        <f>HYPERLINK("http://sedek.ru/upload/iblock/8a4/gorokh_grezy.jpg","фото")</f>
        <v>фото</v>
      </c>
      <c r="C356" s="38"/>
      <c r="D356" s="38"/>
      <c r="E356" s="39"/>
      <c r="F356" s="39" t="s">
        <v>490</v>
      </c>
      <c r="G356" s="40">
        <v>5</v>
      </c>
      <c r="H356" s="39" t="s">
        <v>101</v>
      </c>
      <c r="I356" s="39" t="s">
        <v>287</v>
      </c>
      <c r="J356" s="40">
        <v>600</v>
      </c>
      <c r="K356" s="42">
        <v>7.8</v>
      </c>
      <c r="L356" s="43"/>
      <c r="M356" s="43">
        <f>L356*K356</f>
        <v>0</v>
      </c>
      <c r="N356" s="35">
        <v>4607149402762</v>
      </c>
    </row>
    <row r="357" spans="1:14" ht="24" customHeight="1" outlineLevel="3" x14ac:dyDescent="0.2">
      <c r="A357" s="45">
        <v>15890</v>
      </c>
      <c r="B357" s="37" t="str">
        <f>HYPERLINK("http://sedek.ru/upload/iblock/6d0/gorokh_deliza.jpg","фото")</f>
        <v>фото</v>
      </c>
      <c r="C357" s="38"/>
      <c r="D357" s="38"/>
      <c r="E357" s="39"/>
      <c r="F357" s="39" t="s">
        <v>491</v>
      </c>
      <c r="G357" s="40">
        <v>8</v>
      </c>
      <c r="H357" s="39" t="s">
        <v>101</v>
      </c>
      <c r="I357" s="39" t="s">
        <v>102</v>
      </c>
      <c r="J357" s="40">
        <v>500</v>
      </c>
      <c r="K357" s="42">
        <v>20</v>
      </c>
      <c r="L357" s="43"/>
      <c r="M357" s="43">
        <f>L357*K357</f>
        <v>0</v>
      </c>
      <c r="N357" s="35">
        <v>4607015185973</v>
      </c>
    </row>
    <row r="358" spans="1:14" ht="24" customHeight="1" outlineLevel="3" x14ac:dyDescent="0.2">
      <c r="A358" s="45">
        <v>15890</v>
      </c>
      <c r="B358" s="37" t="str">
        <f>HYPERLINK("http://sedek.ru/upload/iblock/6d0/gorokh_deliza.jpg","фото")</f>
        <v>фото</v>
      </c>
      <c r="C358" s="38"/>
      <c r="D358" s="38"/>
      <c r="E358" s="39"/>
      <c r="F358" s="39" t="s">
        <v>492</v>
      </c>
      <c r="G358" s="40">
        <v>5</v>
      </c>
      <c r="H358" s="39" t="s">
        <v>101</v>
      </c>
      <c r="I358" s="39" t="s">
        <v>287</v>
      </c>
      <c r="J358" s="40">
        <v>500</v>
      </c>
      <c r="K358" s="42">
        <v>7.3</v>
      </c>
      <c r="L358" s="43"/>
      <c r="M358" s="43">
        <f>L358*K358</f>
        <v>0</v>
      </c>
      <c r="N358" s="35">
        <v>4607149408665</v>
      </c>
    </row>
    <row r="359" spans="1:14" ht="24" customHeight="1" outlineLevel="3" x14ac:dyDescent="0.2">
      <c r="A359" s="46">
        <v>14757</v>
      </c>
      <c r="B359" s="47" t="str">
        <f>HYPERLINK("http://sedek.ru/upload/iblock/fb7/gorokh_dinga.jpg","фото")</f>
        <v>фото</v>
      </c>
      <c r="C359" s="48"/>
      <c r="D359" s="48"/>
      <c r="E359" s="49"/>
      <c r="F359" s="49" t="s">
        <v>493</v>
      </c>
      <c r="G359" s="50">
        <v>5</v>
      </c>
      <c r="H359" s="49" t="s">
        <v>101</v>
      </c>
      <c r="I359" s="49" t="s">
        <v>102</v>
      </c>
      <c r="J359" s="50">
        <v>600</v>
      </c>
      <c r="K359" s="52">
        <v>19</v>
      </c>
      <c r="L359" s="53"/>
      <c r="M359" s="53">
        <f>L359*K359</f>
        <v>0</v>
      </c>
      <c r="N359" s="35">
        <v>4607015185980</v>
      </c>
    </row>
    <row r="360" spans="1:14" ht="24" customHeight="1" outlineLevel="3" x14ac:dyDescent="0.2">
      <c r="A360" s="71">
        <v>14757</v>
      </c>
      <c r="B360" s="72" t="str">
        <f>HYPERLINK("http://sedek.ru/upload/iblock/fb7/gorokh_dinga.jpg","фото")</f>
        <v>фото</v>
      </c>
      <c r="C360" s="73"/>
      <c r="D360" s="73"/>
      <c r="E360" s="74"/>
      <c r="F360" s="74" t="s">
        <v>494</v>
      </c>
      <c r="G360" s="75">
        <v>5</v>
      </c>
      <c r="H360" s="74" t="s">
        <v>101</v>
      </c>
      <c r="I360" s="74" t="s">
        <v>287</v>
      </c>
      <c r="J360" s="75">
        <v>600</v>
      </c>
      <c r="K360" s="77">
        <v>6.8</v>
      </c>
      <c r="L360" s="78"/>
      <c r="M360" s="78">
        <f>L360*K360</f>
        <v>0</v>
      </c>
      <c r="N360" s="79">
        <v>4690368006156</v>
      </c>
    </row>
    <row r="361" spans="1:14" ht="24" customHeight="1" outlineLevel="3" x14ac:dyDescent="0.2">
      <c r="A361" s="36" t="s">
        <v>495</v>
      </c>
      <c r="B361" s="37" t="str">
        <f>HYPERLINK("http://sedek.ru/upload/iblock/f78/gorokh_malysh.jpg","фото")</f>
        <v>фото</v>
      </c>
      <c r="C361" s="38"/>
      <c r="D361" s="38"/>
      <c r="E361" s="39"/>
      <c r="F361" s="39" t="s">
        <v>496</v>
      </c>
      <c r="G361" s="40">
        <v>8</v>
      </c>
      <c r="H361" s="39" t="s">
        <v>101</v>
      </c>
      <c r="I361" s="39" t="s">
        <v>102</v>
      </c>
      <c r="J361" s="40">
        <v>500</v>
      </c>
      <c r="K361" s="42">
        <v>20</v>
      </c>
      <c r="L361" s="43"/>
      <c r="M361" s="43">
        <f>L361*K361</f>
        <v>0</v>
      </c>
      <c r="N361" s="35">
        <v>4690368026611</v>
      </c>
    </row>
    <row r="362" spans="1:14" ht="24" customHeight="1" outlineLevel="3" x14ac:dyDescent="0.2">
      <c r="A362" s="46">
        <v>13847</v>
      </c>
      <c r="B362" s="47" t="str">
        <f>HYPERLINK("http://www.sedek.ru/upload/iblock/9b6/gorokh_medovaya_lopatka.jpg","фото")</f>
        <v>фото</v>
      </c>
      <c r="C362" s="48"/>
      <c r="D362" s="48"/>
      <c r="E362" s="49"/>
      <c r="F362" s="49" t="s">
        <v>497</v>
      </c>
      <c r="G362" s="50">
        <v>5</v>
      </c>
      <c r="H362" s="49" t="s">
        <v>101</v>
      </c>
      <c r="I362" s="49" t="s">
        <v>102</v>
      </c>
      <c r="J362" s="50">
        <v>600</v>
      </c>
      <c r="K362" s="52">
        <v>19</v>
      </c>
      <c r="L362" s="53"/>
      <c r="M362" s="53">
        <f>L362*K362</f>
        <v>0</v>
      </c>
      <c r="N362" s="35">
        <v>4690368010962</v>
      </c>
    </row>
    <row r="363" spans="1:14" ht="24" customHeight="1" outlineLevel="3" x14ac:dyDescent="0.2">
      <c r="A363" s="45">
        <v>15701</v>
      </c>
      <c r="B363" s="37" t="str">
        <f>HYPERLINK("http://sedek.ru/upload/iblock/27f/gorokh_meteor.jpg","фото")</f>
        <v>фото</v>
      </c>
      <c r="C363" s="38"/>
      <c r="D363" s="38"/>
      <c r="E363" s="39"/>
      <c r="F363" s="39" t="s">
        <v>498</v>
      </c>
      <c r="G363" s="40">
        <v>5</v>
      </c>
      <c r="H363" s="39" t="s">
        <v>101</v>
      </c>
      <c r="I363" s="39" t="s">
        <v>102</v>
      </c>
      <c r="J363" s="40">
        <v>600</v>
      </c>
      <c r="K363" s="42">
        <v>20</v>
      </c>
      <c r="L363" s="43"/>
      <c r="M363" s="43">
        <f>L363*K363</f>
        <v>0</v>
      </c>
      <c r="N363" s="35">
        <v>4607015186000</v>
      </c>
    </row>
    <row r="364" spans="1:14" ht="24" customHeight="1" outlineLevel="3" x14ac:dyDescent="0.2">
      <c r="A364" s="45">
        <v>15701</v>
      </c>
      <c r="B364" s="37" t="str">
        <f>HYPERLINK("http://sedek.ru/upload/iblock/27f/gorokh_meteor.jpg","фото")</f>
        <v>фото</v>
      </c>
      <c r="C364" s="38"/>
      <c r="D364" s="38"/>
      <c r="E364" s="39"/>
      <c r="F364" s="39" t="s">
        <v>499</v>
      </c>
      <c r="G364" s="40">
        <v>5</v>
      </c>
      <c r="H364" s="39" t="s">
        <v>101</v>
      </c>
      <c r="I364" s="39" t="s">
        <v>287</v>
      </c>
      <c r="J364" s="40">
        <v>600</v>
      </c>
      <c r="K364" s="42">
        <v>8.8000000000000007</v>
      </c>
      <c r="L364" s="43"/>
      <c r="M364" s="43">
        <f>L364*K364</f>
        <v>0</v>
      </c>
      <c r="N364" s="35">
        <v>4690368004930</v>
      </c>
    </row>
    <row r="365" spans="1:14" ht="24" customHeight="1" outlineLevel="3" x14ac:dyDescent="0.2">
      <c r="A365" s="45">
        <v>13482</v>
      </c>
      <c r="B365" s="37" t="str">
        <f>HYPERLINK("http://sedek.ru/upload/iblock/5d8/gorokh_nika.jpg","фото")</f>
        <v>фото</v>
      </c>
      <c r="C365" s="38"/>
      <c r="D365" s="38"/>
      <c r="E365" s="39"/>
      <c r="F365" s="39" t="s">
        <v>500</v>
      </c>
      <c r="G365" s="40">
        <v>8</v>
      </c>
      <c r="H365" s="39" t="s">
        <v>101</v>
      </c>
      <c r="I365" s="39" t="s">
        <v>102</v>
      </c>
      <c r="J365" s="40">
        <v>500</v>
      </c>
      <c r="K365" s="42">
        <v>20</v>
      </c>
      <c r="L365" s="43"/>
      <c r="M365" s="43">
        <f>L365*K365</f>
        <v>0</v>
      </c>
      <c r="N365" s="35">
        <v>4607015186017</v>
      </c>
    </row>
    <row r="366" spans="1:14" ht="24" customHeight="1" outlineLevel="3" x14ac:dyDescent="0.2">
      <c r="A366" s="45">
        <v>13482</v>
      </c>
      <c r="B366" s="37" t="str">
        <f>HYPERLINK("http://sedek.ru/upload/iblock/5d8/gorokh_nika.jpg","фото")</f>
        <v>фото</v>
      </c>
      <c r="C366" s="38"/>
      <c r="D366" s="38"/>
      <c r="E366" s="39"/>
      <c r="F366" s="39" t="s">
        <v>501</v>
      </c>
      <c r="G366" s="40">
        <v>6</v>
      </c>
      <c r="H366" s="39" t="s">
        <v>101</v>
      </c>
      <c r="I366" s="39" t="s">
        <v>287</v>
      </c>
      <c r="J366" s="40">
        <v>500</v>
      </c>
      <c r="K366" s="42">
        <v>7.3</v>
      </c>
      <c r="L366" s="43"/>
      <c r="M366" s="43">
        <f>L366*K366</f>
        <v>0</v>
      </c>
      <c r="N366" s="35">
        <v>4607149409587</v>
      </c>
    </row>
    <row r="367" spans="1:14" ht="24" customHeight="1" outlineLevel="3" x14ac:dyDescent="0.2">
      <c r="A367" s="45">
        <v>13492</v>
      </c>
      <c r="B367" s="37" t="str">
        <f>HYPERLINK("http://sedek.ru/upload/iblock/534/gorokh_pioner.jpg","фото")</f>
        <v>фото</v>
      </c>
      <c r="C367" s="38"/>
      <c r="D367" s="38"/>
      <c r="E367" s="39"/>
      <c r="F367" s="39" t="s">
        <v>502</v>
      </c>
      <c r="G367" s="40">
        <v>8</v>
      </c>
      <c r="H367" s="39" t="s">
        <v>101</v>
      </c>
      <c r="I367" s="39" t="s">
        <v>102</v>
      </c>
      <c r="J367" s="40">
        <v>500</v>
      </c>
      <c r="K367" s="42">
        <v>20</v>
      </c>
      <c r="L367" s="43"/>
      <c r="M367" s="43">
        <f>L367*K367</f>
        <v>0</v>
      </c>
      <c r="N367" s="35">
        <v>4607149400539</v>
      </c>
    </row>
    <row r="368" spans="1:14" ht="24" customHeight="1" outlineLevel="3" x14ac:dyDescent="0.2">
      <c r="A368" s="45">
        <v>16111</v>
      </c>
      <c r="B368" s="37" t="str">
        <f>HYPERLINK("http://sedek.ru/upload/iblock/35a/gorokh_premium.jpg","фото")</f>
        <v>фото</v>
      </c>
      <c r="C368" s="38"/>
      <c r="D368" s="38"/>
      <c r="E368" s="39"/>
      <c r="F368" s="39" t="s">
        <v>503</v>
      </c>
      <c r="G368" s="40">
        <v>8</v>
      </c>
      <c r="H368" s="39" t="s">
        <v>101</v>
      </c>
      <c r="I368" s="39" t="s">
        <v>102</v>
      </c>
      <c r="J368" s="40">
        <v>500</v>
      </c>
      <c r="K368" s="42">
        <v>18.8</v>
      </c>
      <c r="L368" s="43"/>
      <c r="M368" s="43">
        <f>L368*K368</f>
        <v>0</v>
      </c>
      <c r="N368" s="35">
        <v>4607149400515</v>
      </c>
    </row>
    <row r="369" spans="1:14" ht="24" customHeight="1" outlineLevel="3" x14ac:dyDescent="0.2">
      <c r="A369" s="45">
        <v>14135</v>
      </c>
      <c r="B369" s="37" t="str">
        <f>HYPERLINK("http://sedek.ru/upload/iblock/637/gorokh_sakharnyy_struchok.jpg","фото")</f>
        <v>фото</v>
      </c>
      <c r="C369" s="38"/>
      <c r="D369" s="38"/>
      <c r="E369" s="39"/>
      <c r="F369" s="39" t="s">
        <v>504</v>
      </c>
      <c r="G369" s="40">
        <v>5</v>
      </c>
      <c r="H369" s="39" t="s">
        <v>101</v>
      </c>
      <c r="I369" s="39" t="s">
        <v>102</v>
      </c>
      <c r="J369" s="40">
        <v>600</v>
      </c>
      <c r="K369" s="42">
        <v>20</v>
      </c>
      <c r="L369" s="43"/>
      <c r="M369" s="43">
        <f>L369*K369</f>
        <v>0</v>
      </c>
      <c r="N369" s="35">
        <v>4690368007535</v>
      </c>
    </row>
    <row r="370" spans="1:14" ht="24" customHeight="1" outlineLevel="3" x14ac:dyDescent="0.2">
      <c r="A370" s="45">
        <v>14135</v>
      </c>
      <c r="B370" s="37" t="str">
        <f>HYPERLINK("http://sedek.ru/upload/iblock/637/gorokh_sakharnyy_struchok.jpg","фото")</f>
        <v>фото</v>
      </c>
      <c r="C370" s="38"/>
      <c r="D370" s="38"/>
      <c r="E370" s="39"/>
      <c r="F370" s="39" t="s">
        <v>505</v>
      </c>
      <c r="G370" s="40">
        <v>5</v>
      </c>
      <c r="H370" s="39" t="s">
        <v>101</v>
      </c>
      <c r="I370" s="39" t="s">
        <v>287</v>
      </c>
      <c r="J370" s="40">
        <v>600</v>
      </c>
      <c r="K370" s="42">
        <v>8.8000000000000007</v>
      </c>
      <c r="L370" s="43"/>
      <c r="M370" s="43">
        <f>L370*K370</f>
        <v>0</v>
      </c>
      <c r="N370" s="35">
        <v>4690368019477</v>
      </c>
    </row>
    <row r="371" spans="1:14" ht="24" customHeight="1" outlineLevel="3" x14ac:dyDescent="0.2">
      <c r="A371" s="46">
        <v>14081</v>
      </c>
      <c r="B371" s="47" t="str">
        <f>HYPERLINK("http://www.sedek.ru/upload/iblock/9df/gorokh_senator.jpg","фото")</f>
        <v>фото</v>
      </c>
      <c r="C371" s="48"/>
      <c r="D371" s="48"/>
      <c r="E371" s="49"/>
      <c r="F371" s="49" t="s">
        <v>506</v>
      </c>
      <c r="G371" s="50">
        <v>5</v>
      </c>
      <c r="H371" s="49" t="s">
        <v>101</v>
      </c>
      <c r="I371" s="49" t="s">
        <v>102</v>
      </c>
      <c r="J371" s="50">
        <v>600</v>
      </c>
      <c r="K371" s="52">
        <v>19</v>
      </c>
      <c r="L371" s="53"/>
      <c r="M371" s="53">
        <f>L371*K371</f>
        <v>0</v>
      </c>
      <c r="N371" s="35">
        <v>4607015186024</v>
      </c>
    </row>
    <row r="372" spans="1:14" ht="36" customHeight="1" outlineLevel="3" x14ac:dyDescent="0.2">
      <c r="A372" s="45">
        <v>15745</v>
      </c>
      <c r="B372" s="37" t="str">
        <f>HYPERLINK("http://sedek.ru/upload/iblock/a4f/gorokh_sladkiy_druzhok.jpg","фото")</f>
        <v>фото</v>
      </c>
      <c r="C372" s="38"/>
      <c r="D372" s="38"/>
      <c r="E372" s="39"/>
      <c r="F372" s="39" t="s">
        <v>507</v>
      </c>
      <c r="G372" s="40">
        <v>8</v>
      </c>
      <c r="H372" s="39" t="s">
        <v>101</v>
      </c>
      <c r="I372" s="39" t="s">
        <v>102</v>
      </c>
      <c r="J372" s="40">
        <v>500</v>
      </c>
      <c r="K372" s="42">
        <v>20</v>
      </c>
      <c r="L372" s="43"/>
      <c r="M372" s="43">
        <f>L372*K372</f>
        <v>0</v>
      </c>
      <c r="N372" s="35">
        <v>4690368010955</v>
      </c>
    </row>
    <row r="373" spans="1:14" ht="36" customHeight="1" outlineLevel="3" x14ac:dyDescent="0.2">
      <c r="A373" s="45">
        <v>15745</v>
      </c>
      <c r="B373" s="37" t="str">
        <f>HYPERLINK("http://sedek.ru/upload/iblock/a4f/gorokh_sladkiy_druzhok.jpg","фото")</f>
        <v>фото</v>
      </c>
      <c r="C373" s="38"/>
      <c r="D373" s="38"/>
      <c r="E373" s="39"/>
      <c r="F373" s="39" t="s">
        <v>508</v>
      </c>
      <c r="G373" s="40">
        <v>6</v>
      </c>
      <c r="H373" s="39" t="s">
        <v>101</v>
      </c>
      <c r="I373" s="39" t="s">
        <v>287</v>
      </c>
      <c r="J373" s="40">
        <v>500</v>
      </c>
      <c r="K373" s="42">
        <v>8.8000000000000007</v>
      </c>
      <c r="L373" s="43"/>
      <c r="M373" s="43">
        <f>L373*K373</f>
        <v>0</v>
      </c>
      <c r="N373" s="35">
        <v>4690368004497</v>
      </c>
    </row>
    <row r="374" spans="1:14" ht="24" customHeight="1" outlineLevel="3" x14ac:dyDescent="0.2">
      <c r="A374" s="45">
        <v>16500</v>
      </c>
      <c r="B374" s="37" t="str">
        <f>HYPERLINK("http://sedek.ru/upload/iblock/c32/gorokh_chudo_kelvedona.jpg","фото")</f>
        <v>фото</v>
      </c>
      <c r="C374" s="38"/>
      <c r="D374" s="38"/>
      <c r="E374" s="39"/>
      <c r="F374" s="39" t="s">
        <v>509</v>
      </c>
      <c r="G374" s="40">
        <v>8</v>
      </c>
      <c r="H374" s="39" t="s">
        <v>101</v>
      </c>
      <c r="I374" s="39" t="s">
        <v>102</v>
      </c>
      <c r="J374" s="40">
        <v>500</v>
      </c>
      <c r="K374" s="42">
        <v>18.8</v>
      </c>
      <c r="L374" s="43"/>
      <c r="M374" s="43">
        <f>L374*K374</f>
        <v>0</v>
      </c>
      <c r="N374" s="35">
        <v>4607116267127</v>
      </c>
    </row>
    <row r="375" spans="1:14" ht="24" customHeight="1" outlineLevel="3" x14ac:dyDescent="0.2">
      <c r="A375" s="45">
        <v>16500</v>
      </c>
      <c r="B375" s="37" t="str">
        <f>HYPERLINK("http://sedek.ru/upload/iblock/c32/gorokh_chudo_kelvedona.jpg","фото")</f>
        <v>фото</v>
      </c>
      <c r="C375" s="38"/>
      <c r="D375" s="38"/>
      <c r="E375" s="39"/>
      <c r="F375" s="39" t="s">
        <v>510</v>
      </c>
      <c r="G375" s="40">
        <v>6</v>
      </c>
      <c r="H375" s="39" t="s">
        <v>101</v>
      </c>
      <c r="I375" s="39" t="s">
        <v>287</v>
      </c>
      <c r="J375" s="40">
        <v>500</v>
      </c>
      <c r="K375" s="42">
        <v>6.5</v>
      </c>
      <c r="L375" s="43"/>
      <c r="M375" s="43">
        <f>L375*K375</f>
        <v>0</v>
      </c>
      <c r="N375" s="35">
        <v>4607149408238</v>
      </c>
    </row>
    <row r="376" spans="1:14" ht="24" customHeight="1" outlineLevel="3" x14ac:dyDescent="0.2">
      <c r="A376" s="45">
        <v>15938</v>
      </c>
      <c r="B376" s="37" t="str">
        <f>HYPERLINK("http://www.sedek.ru/upload/iblock/42f/gorokh_yantar.jpg","фото")</f>
        <v>фото</v>
      </c>
      <c r="C376" s="38"/>
      <c r="D376" s="38"/>
      <c r="E376" s="39"/>
      <c r="F376" s="39" t="s">
        <v>511</v>
      </c>
      <c r="G376" s="40">
        <v>8</v>
      </c>
      <c r="H376" s="39" t="s">
        <v>101</v>
      </c>
      <c r="I376" s="39" t="s">
        <v>102</v>
      </c>
      <c r="J376" s="40">
        <v>500</v>
      </c>
      <c r="K376" s="42">
        <v>18.8</v>
      </c>
      <c r="L376" s="43"/>
      <c r="M376" s="43">
        <f>L376*K376</f>
        <v>0</v>
      </c>
      <c r="N376" s="35">
        <v>4607149400737</v>
      </c>
    </row>
    <row r="377" spans="1:14" ht="24" customHeight="1" outlineLevel="3" x14ac:dyDescent="0.2">
      <c r="A377" s="45">
        <v>15938</v>
      </c>
      <c r="B377" s="37" t="str">
        <f>HYPERLINK("http://www.sedek.ru/upload/iblock/42f/gorokh_yantar.jpg","фото")</f>
        <v>фото</v>
      </c>
      <c r="C377" s="38"/>
      <c r="D377" s="38"/>
      <c r="E377" s="39"/>
      <c r="F377" s="39" t="s">
        <v>512</v>
      </c>
      <c r="G377" s="40">
        <v>6</v>
      </c>
      <c r="H377" s="39" t="s">
        <v>101</v>
      </c>
      <c r="I377" s="39" t="s">
        <v>287</v>
      </c>
      <c r="J377" s="40">
        <v>500</v>
      </c>
      <c r="K377" s="42">
        <v>7</v>
      </c>
      <c r="L377" s="43"/>
      <c r="M377" s="43">
        <f>L377*K377</f>
        <v>0</v>
      </c>
      <c r="N377" s="35">
        <v>4607149405398</v>
      </c>
    </row>
    <row r="378" spans="1:14" ht="12" customHeight="1" outlineLevel="2" x14ac:dyDescent="0.2">
      <c r="A378" s="22"/>
      <c r="B378" s="23"/>
      <c r="C378" s="23"/>
      <c r="D378" s="23"/>
      <c r="E378" s="24"/>
      <c r="F378" s="24" t="s">
        <v>513</v>
      </c>
      <c r="G378" s="24"/>
      <c r="H378" s="24"/>
      <c r="I378" s="24"/>
      <c r="J378" s="24"/>
      <c r="K378" s="24"/>
      <c r="L378" s="24"/>
      <c r="M378" s="24"/>
      <c r="N378" s="25"/>
    </row>
    <row r="379" spans="1:14" ht="24" customHeight="1" outlineLevel="3" x14ac:dyDescent="0.2">
      <c r="A379" s="45">
        <v>16710</v>
      </c>
      <c r="B379" s="37" t="str">
        <f>HYPERLINK("http://sedek.ru/upload/iblock/634/daykon_biven_mamonta.jpg","фото")</f>
        <v>фото</v>
      </c>
      <c r="C379" s="38"/>
      <c r="D379" s="38"/>
      <c r="E379" s="39"/>
      <c r="F379" s="39" t="s">
        <v>514</v>
      </c>
      <c r="G379" s="40">
        <v>1</v>
      </c>
      <c r="H379" s="39" t="s">
        <v>101</v>
      </c>
      <c r="I379" s="39" t="s">
        <v>102</v>
      </c>
      <c r="J379" s="41">
        <v>2000</v>
      </c>
      <c r="K379" s="42">
        <v>20.5</v>
      </c>
      <c r="L379" s="43"/>
      <c r="M379" s="43">
        <f>L379*K379</f>
        <v>0</v>
      </c>
      <c r="N379" s="35">
        <v>4690368024006</v>
      </c>
    </row>
    <row r="380" spans="1:14" ht="24" customHeight="1" outlineLevel="3" x14ac:dyDescent="0.2">
      <c r="A380" s="46">
        <v>14425</v>
      </c>
      <c r="B380" s="47" t="str">
        <f>HYPERLINK("http://sedek.ru/upload/iblock/9c3/daykon_bolshoy_byk.JPG","фото")</f>
        <v>фото</v>
      </c>
      <c r="C380" s="48"/>
      <c r="D380" s="48"/>
      <c r="E380" s="49"/>
      <c r="F380" s="49" t="s">
        <v>515</v>
      </c>
      <c r="G380" s="50">
        <v>1</v>
      </c>
      <c r="H380" s="49" t="s">
        <v>101</v>
      </c>
      <c r="I380" s="49" t="s">
        <v>102</v>
      </c>
      <c r="J380" s="51">
        <v>2000</v>
      </c>
      <c r="K380" s="52">
        <v>21.8</v>
      </c>
      <c r="L380" s="53"/>
      <c r="M380" s="53">
        <f>L380*K380</f>
        <v>0</v>
      </c>
      <c r="N380" s="35">
        <v>4607015186031</v>
      </c>
    </row>
    <row r="381" spans="1:14" ht="24" customHeight="1" outlineLevel="3" x14ac:dyDescent="0.2">
      <c r="A381" s="71">
        <v>14425</v>
      </c>
      <c r="B381" s="72" t="str">
        <f>HYPERLINK("http://sedek.ru/upload/iblock/9c3/daykon_bolshoy_byk.JPG","фото")</f>
        <v>фото</v>
      </c>
      <c r="C381" s="73"/>
      <c r="D381" s="73"/>
      <c r="E381" s="74"/>
      <c r="F381" s="74" t="s">
        <v>516</v>
      </c>
      <c r="G381" s="75">
        <v>1</v>
      </c>
      <c r="H381" s="74" t="s">
        <v>101</v>
      </c>
      <c r="I381" s="74" t="s">
        <v>287</v>
      </c>
      <c r="J381" s="76">
        <v>2000</v>
      </c>
      <c r="K381" s="77">
        <v>8.5</v>
      </c>
      <c r="L381" s="78"/>
      <c r="M381" s="78">
        <f>L381*K381</f>
        <v>0</v>
      </c>
      <c r="N381" s="79">
        <v>4607149408245</v>
      </c>
    </row>
    <row r="382" spans="1:14" ht="24" customHeight="1" outlineLevel="3" x14ac:dyDescent="0.2">
      <c r="A382" s="45">
        <v>14449</v>
      </c>
      <c r="B382" s="37" t="str">
        <f>HYPERLINK("http://www.sedek.ru/upload/iblock/8ef/daykon_dubinushka.jpg","фото")</f>
        <v>фото</v>
      </c>
      <c r="C382" s="38"/>
      <c r="D382" s="38"/>
      <c r="E382" s="39"/>
      <c r="F382" s="39" t="s">
        <v>517</v>
      </c>
      <c r="G382" s="40">
        <v>1</v>
      </c>
      <c r="H382" s="39" t="s">
        <v>101</v>
      </c>
      <c r="I382" s="39" t="s">
        <v>102</v>
      </c>
      <c r="J382" s="41">
        <v>2000</v>
      </c>
      <c r="K382" s="42">
        <v>20.5</v>
      </c>
      <c r="L382" s="43"/>
      <c r="M382" s="43">
        <f>L382*K382</f>
        <v>0</v>
      </c>
      <c r="N382" s="35">
        <v>4607149400751</v>
      </c>
    </row>
    <row r="383" spans="1:14" ht="24" customHeight="1" outlineLevel="3" x14ac:dyDescent="0.2">
      <c r="A383" s="45">
        <v>14449</v>
      </c>
      <c r="B383" s="37" t="str">
        <f>HYPERLINK("http://www.sedek.ru/upload/iblock/8ef/daykon_dubinushka.jpg","фото")</f>
        <v>фото</v>
      </c>
      <c r="C383" s="38"/>
      <c r="D383" s="38"/>
      <c r="E383" s="39"/>
      <c r="F383" s="39" t="s">
        <v>518</v>
      </c>
      <c r="G383" s="40">
        <v>1</v>
      </c>
      <c r="H383" s="39" t="s">
        <v>101</v>
      </c>
      <c r="I383" s="39" t="s">
        <v>287</v>
      </c>
      <c r="J383" s="41">
        <v>2000</v>
      </c>
      <c r="K383" s="42">
        <v>6.8</v>
      </c>
      <c r="L383" s="43"/>
      <c r="M383" s="43">
        <f>L383*K383</f>
        <v>0</v>
      </c>
      <c r="N383" s="35">
        <v>4607149402120</v>
      </c>
    </row>
    <row r="384" spans="1:14" ht="24" customHeight="1" outlineLevel="3" x14ac:dyDescent="0.2">
      <c r="A384" s="46">
        <v>15096</v>
      </c>
      <c r="B384" s="47" t="str">
        <f>HYPERLINK("http://sedek.ru/upload/iblock/cab/daykon_klyk_slona.jpg","фото")</f>
        <v>фото</v>
      </c>
      <c r="C384" s="48"/>
      <c r="D384" s="48"/>
      <c r="E384" s="49"/>
      <c r="F384" s="49" t="s">
        <v>519</v>
      </c>
      <c r="G384" s="50">
        <v>1</v>
      </c>
      <c r="H384" s="49" t="s">
        <v>101</v>
      </c>
      <c r="I384" s="49" t="s">
        <v>102</v>
      </c>
      <c r="J384" s="51">
        <v>2000</v>
      </c>
      <c r="K384" s="52">
        <v>19.5</v>
      </c>
      <c r="L384" s="53"/>
      <c r="M384" s="53">
        <f>L384*K384</f>
        <v>0</v>
      </c>
      <c r="N384" s="35">
        <v>4607149400744</v>
      </c>
    </row>
    <row r="385" spans="1:14" ht="24" customHeight="1" outlineLevel="3" x14ac:dyDescent="0.2">
      <c r="A385" s="71">
        <v>15096</v>
      </c>
      <c r="B385" s="72" t="str">
        <f>HYPERLINK("http://sedek.ru/upload/iblock/cab/daykon_klyk_slona.jpg","фото")</f>
        <v>фото</v>
      </c>
      <c r="C385" s="73"/>
      <c r="D385" s="73"/>
      <c r="E385" s="74"/>
      <c r="F385" s="74" t="s">
        <v>520</v>
      </c>
      <c r="G385" s="75">
        <v>1</v>
      </c>
      <c r="H385" s="74" t="s">
        <v>101</v>
      </c>
      <c r="I385" s="74" t="s">
        <v>287</v>
      </c>
      <c r="J385" s="76">
        <v>2000</v>
      </c>
      <c r="K385" s="77">
        <v>6.8</v>
      </c>
      <c r="L385" s="78"/>
      <c r="M385" s="78">
        <f>L385*K385</f>
        <v>0</v>
      </c>
      <c r="N385" s="79">
        <v>4607149402113</v>
      </c>
    </row>
    <row r="386" spans="1:14" ht="24" customHeight="1" outlineLevel="3" x14ac:dyDescent="0.2">
      <c r="A386" s="45">
        <v>14880</v>
      </c>
      <c r="B386" s="37" t="str">
        <f>HYPERLINK("http://sedek.ru/upload/resize_cache/iblock/266/150_260_140cd750bba9870f18aada2478b24840a/daykon_minovasi.JPG","фото")</f>
        <v>фото</v>
      </c>
      <c r="C386" s="38"/>
      <c r="D386" s="38"/>
      <c r="E386" s="39"/>
      <c r="F386" s="39" t="s">
        <v>521</v>
      </c>
      <c r="G386" s="40">
        <v>1</v>
      </c>
      <c r="H386" s="39" t="s">
        <v>101</v>
      </c>
      <c r="I386" s="39" t="s">
        <v>102</v>
      </c>
      <c r="J386" s="41">
        <v>2000</v>
      </c>
      <c r="K386" s="42">
        <v>15.6</v>
      </c>
      <c r="L386" s="43"/>
      <c r="M386" s="43">
        <f>L386*K386</f>
        <v>0</v>
      </c>
      <c r="N386" s="35">
        <v>4607015186048</v>
      </c>
    </row>
    <row r="387" spans="1:14" ht="24" customHeight="1" outlineLevel="3" x14ac:dyDescent="0.2">
      <c r="A387" s="45">
        <v>14727</v>
      </c>
      <c r="B387" s="37" t="str">
        <f>HYPERLINK("http://sedek.ru/upload/iblock/5db/daykon_sasha.jpg","фото")</f>
        <v>фото</v>
      </c>
      <c r="C387" s="38"/>
      <c r="D387" s="38"/>
      <c r="E387" s="39"/>
      <c r="F387" s="39" t="s">
        <v>522</v>
      </c>
      <c r="G387" s="40">
        <v>1</v>
      </c>
      <c r="H387" s="39" t="s">
        <v>101</v>
      </c>
      <c r="I387" s="39" t="s">
        <v>102</v>
      </c>
      <c r="J387" s="41">
        <v>2000</v>
      </c>
      <c r="K387" s="42">
        <v>15.6</v>
      </c>
      <c r="L387" s="43"/>
      <c r="M387" s="43">
        <f>L387*K387</f>
        <v>0</v>
      </c>
      <c r="N387" s="35">
        <v>4607149400768</v>
      </c>
    </row>
    <row r="388" spans="1:14" ht="24" customHeight="1" outlineLevel="3" x14ac:dyDescent="0.2">
      <c r="A388" s="45">
        <v>13980</v>
      </c>
      <c r="B388" s="37" t="str">
        <f>HYPERLINK("http://sedek.ru/upload/iblock/069/daykon_yaponskiy_belyy_dlinnyy.jpg","фото")</f>
        <v>фото</v>
      </c>
      <c r="C388" s="38"/>
      <c r="D388" s="38"/>
      <c r="E388" s="39"/>
      <c r="F388" s="39" t="s">
        <v>523</v>
      </c>
      <c r="G388" s="40">
        <v>1</v>
      </c>
      <c r="H388" s="39" t="s">
        <v>101</v>
      </c>
      <c r="I388" s="39" t="s">
        <v>102</v>
      </c>
      <c r="J388" s="41">
        <v>2000</v>
      </c>
      <c r="K388" s="42">
        <v>20.5</v>
      </c>
      <c r="L388" s="43"/>
      <c r="M388" s="43">
        <f>L388*K388</f>
        <v>0</v>
      </c>
      <c r="N388" s="35">
        <v>4607015186055</v>
      </c>
    </row>
    <row r="389" spans="1:14" ht="24" customHeight="1" outlineLevel="3" x14ac:dyDescent="0.2">
      <c r="A389" s="45">
        <v>13980</v>
      </c>
      <c r="B389" s="37" t="str">
        <f>HYPERLINK("http://sedek.ru/upload/iblock/069/daykon_yaponskiy_belyy_dlinnyy.jpg","фото")</f>
        <v>фото</v>
      </c>
      <c r="C389" s="38"/>
      <c r="D389" s="38"/>
      <c r="E389" s="39"/>
      <c r="F389" s="39" t="s">
        <v>524</v>
      </c>
      <c r="G389" s="40">
        <v>1</v>
      </c>
      <c r="H389" s="39" t="s">
        <v>101</v>
      </c>
      <c r="I389" s="39" t="s">
        <v>287</v>
      </c>
      <c r="J389" s="41">
        <v>2000</v>
      </c>
      <c r="K389" s="42">
        <v>6.8</v>
      </c>
      <c r="L389" s="43"/>
      <c r="M389" s="43">
        <f>L389*K389</f>
        <v>0</v>
      </c>
      <c r="N389" s="35">
        <v>4607149402137</v>
      </c>
    </row>
    <row r="390" spans="1:14" ht="24" customHeight="1" outlineLevel="3" x14ac:dyDescent="0.2">
      <c r="A390" s="36" t="s">
        <v>525</v>
      </c>
      <c r="B390" s="37" t="str">
        <f>HYPERLINK("http://www.sedek.ru/upload/iblock/e12/daykon_yaponskiy_krasnyy_dlinnyy.jpg","фото")</f>
        <v>фото</v>
      </c>
      <c r="C390" s="38"/>
      <c r="D390" s="38"/>
      <c r="E390" s="39"/>
      <c r="F390" s="39" t="s">
        <v>526</v>
      </c>
      <c r="G390" s="40">
        <v>1</v>
      </c>
      <c r="H390" s="39" t="s">
        <v>101</v>
      </c>
      <c r="I390" s="39" t="s">
        <v>102</v>
      </c>
      <c r="J390" s="41">
        <v>2000</v>
      </c>
      <c r="K390" s="42">
        <v>20.5</v>
      </c>
      <c r="L390" s="43"/>
      <c r="M390" s="43">
        <f>L390*K390</f>
        <v>0</v>
      </c>
      <c r="N390" s="35">
        <v>4690368032865</v>
      </c>
    </row>
    <row r="391" spans="1:14" ht="12" customHeight="1" outlineLevel="2" x14ac:dyDescent="0.2">
      <c r="A391" s="22"/>
      <c r="B391" s="23"/>
      <c r="C391" s="23"/>
      <c r="D391" s="23"/>
      <c r="E391" s="24"/>
      <c r="F391" s="24" t="s">
        <v>527</v>
      </c>
      <c r="G391" s="24"/>
      <c r="H391" s="24"/>
      <c r="I391" s="24"/>
      <c r="J391" s="24"/>
      <c r="K391" s="24"/>
      <c r="L391" s="24"/>
      <c r="M391" s="24"/>
      <c r="N391" s="25"/>
    </row>
    <row r="392" spans="1:14" ht="24" customHeight="1" outlineLevel="3" x14ac:dyDescent="0.2">
      <c r="A392" s="45">
        <v>13570</v>
      </c>
      <c r="B392" s="37" t="str">
        <f>HYPERLINK("http://sedek.ru/upload/iblock/cde/dynya_alina.jpg","фото")</f>
        <v>фото</v>
      </c>
      <c r="C392" s="38"/>
      <c r="D392" s="38"/>
      <c r="E392" s="39"/>
      <c r="F392" s="39" t="s">
        <v>528</v>
      </c>
      <c r="G392" s="44">
        <v>0.5</v>
      </c>
      <c r="H392" s="39" t="s">
        <v>101</v>
      </c>
      <c r="I392" s="39" t="s">
        <v>102</v>
      </c>
      <c r="J392" s="41">
        <v>3000</v>
      </c>
      <c r="K392" s="42">
        <v>20.5</v>
      </c>
      <c r="L392" s="43"/>
      <c r="M392" s="43">
        <f>L392*K392</f>
        <v>0</v>
      </c>
      <c r="N392" s="35">
        <v>4607015186062</v>
      </c>
    </row>
    <row r="393" spans="1:14" ht="24" customHeight="1" outlineLevel="3" x14ac:dyDescent="0.2">
      <c r="A393" s="46">
        <v>16419</v>
      </c>
      <c r="B393" s="47" t="str">
        <f>HYPERLINK("http://sedek.ru/upload/iblock/57d/dml2ljjp1ejxf1ulij7poy5gf4okibl1/dynya_ananasnaya.png","фото")</f>
        <v>фото</v>
      </c>
      <c r="C393" s="48"/>
      <c r="D393" s="48"/>
      <c r="E393" s="49"/>
      <c r="F393" s="49" t="s">
        <v>529</v>
      </c>
      <c r="G393" s="56">
        <v>0.5</v>
      </c>
      <c r="H393" s="49" t="s">
        <v>101</v>
      </c>
      <c r="I393" s="49" t="s">
        <v>102</v>
      </c>
      <c r="J393" s="51">
        <v>3000</v>
      </c>
      <c r="K393" s="52">
        <v>19.5</v>
      </c>
      <c r="L393" s="53"/>
      <c r="M393" s="53">
        <f>L393*K393</f>
        <v>0</v>
      </c>
      <c r="N393" s="35">
        <v>4607015186079</v>
      </c>
    </row>
    <row r="394" spans="1:14" ht="24" customHeight="1" outlineLevel="3" x14ac:dyDescent="0.2">
      <c r="A394" s="71">
        <v>16419</v>
      </c>
      <c r="B394" s="72" t="str">
        <f>HYPERLINK("http://sedek.ru/upload/iblock/57d/dml2ljjp1ejxf1ulij7poy5gf4okibl1/dynya_ananasnaya.png","фото")</f>
        <v>фото</v>
      </c>
      <c r="C394" s="73"/>
      <c r="D394" s="73"/>
      <c r="E394" s="74"/>
      <c r="F394" s="74" t="s">
        <v>530</v>
      </c>
      <c r="G394" s="80">
        <v>0.5</v>
      </c>
      <c r="H394" s="74" t="s">
        <v>101</v>
      </c>
      <c r="I394" s="74" t="s">
        <v>287</v>
      </c>
      <c r="J394" s="76">
        <v>3000</v>
      </c>
      <c r="K394" s="77">
        <v>8.1</v>
      </c>
      <c r="L394" s="78"/>
      <c r="M394" s="78">
        <f>L394*K394</f>
        <v>0</v>
      </c>
      <c r="N394" s="79">
        <v>4607149409617</v>
      </c>
    </row>
    <row r="395" spans="1:14" ht="36" customHeight="1" outlineLevel="3" x14ac:dyDescent="0.2">
      <c r="A395" s="45">
        <v>13634</v>
      </c>
      <c r="B395" s="37" t="str">
        <f>HYPERLINK("http://sedek.ru/upload/iblock/28d/dynya_gruntovaya_rannyaya.jpg","фото")</f>
        <v>фото</v>
      </c>
      <c r="C395" s="38"/>
      <c r="D395" s="38"/>
      <c r="E395" s="39"/>
      <c r="F395" s="39" t="s">
        <v>531</v>
      </c>
      <c r="G395" s="44">
        <v>0.5</v>
      </c>
      <c r="H395" s="39" t="s">
        <v>101</v>
      </c>
      <c r="I395" s="39" t="s">
        <v>102</v>
      </c>
      <c r="J395" s="41">
        <v>3000</v>
      </c>
      <c r="K395" s="42">
        <v>20.5</v>
      </c>
      <c r="L395" s="43"/>
      <c r="M395" s="43">
        <f>L395*K395</f>
        <v>0</v>
      </c>
      <c r="N395" s="35">
        <v>4690368022002</v>
      </c>
    </row>
    <row r="396" spans="1:14" ht="36" customHeight="1" outlineLevel="3" x14ac:dyDescent="0.2">
      <c r="A396" s="45">
        <v>14223</v>
      </c>
      <c r="B396" s="37" t="str">
        <f>HYPERLINK("http://sedek.ru/upload/iblock/512/hxrjpef0k3igimmi7ixpduqr8dxulryv/armyanskiy_ogurets_bogatyr_belyy.jpg","фото")</f>
        <v>фото</v>
      </c>
      <c r="C396" s="38" t="s">
        <v>266</v>
      </c>
      <c r="D396" s="38" t="s">
        <v>266</v>
      </c>
      <c r="E396" s="39"/>
      <c r="F396" s="39" t="s">
        <v>532</v>
      </c>
      <c r="G396" s="44">
        <v>0.5</v>
      </c>
      <c r="H396" s="39" t="s">
        <v>101</v>
      </c>
      <c r="I396" s="39" t="s">
        <v>102</v>
      </c>
      <c r="J396" s="41">
        <v>3000</v>
      </c>
      <c r="K396" s="42">
        <v>22.7</v>
      </c>
      <c r="L396" s="43"/>
      <c r="M396" s="43">
        <f>L396*K396</f>
        <v>0</v>
      </c>
      <c r="N396" s="35">
        <v>4690368012751</v>
      </c>
    </row>
    <row r="397" spans="1:14" ht="36" customHeight="1" outlineLevel="3" x14ac:dyDescent="0.2">
      <c r="A397" s="45">
        <v>14222</v>
      </c>
      <c r="B397" s="37" t="str">
        <f>HYPERLINK("http://sedek.ru/upload/iblock/0f8/m41k5mk62k1w7mnpvs9ab0n0npf1k19s/dynya_zmeevidnaya_bogatyr_zelyenyy.jpg","фото")</f>
        <v>фото</v>
      </c>
      <c r="C397" s="38" t="s">
        <v>266</v>
      </c>
      <c r="D397" s="38"/>
      <c r="E397" s="39"/>
      <c r="F397" s="39" t="s">
        <v>533</v>
      </c>
      <c r="G397" s="44">
        <v>0.5</v>
      </c>
      <c r="H397" s="39" t="s">
        <v>101</v>
      </c>
      <c r="I397" s="39" t="s">
        <v>102</v>
      </c>
      <c r="J397" s="41">
        <v>3000</v>
      </c>
      <c r="K397" s="42">
        <v>22.7</v>
      </c>
      <c r="L397" s="43"/>
      <c r="M397" s="43">
        <f>L397*K397</f>
        <v>0</v>
      </c>
      <c r="N397" s="35">
        <v>4690368012768</v>
      </c>
    </row>
    <row r="398" spans="1:14" ht="24" customHeight="1" outlineLevel="3" x14ac:dyDescent="0.2">
      <c r="A398" s="45">
        <v>14650</v>
      </c>
      <c r="B398" s="37" t="str">
        <f>HYPERLINK("http://sedek.ru/upload/iblock/86a/dynya_zolotistaya.jpg","фото")</f>
        <v>фото</v>
      </c>
      <c r="C398" s="38"/>
      <c r="D398" s="38"/>
      <c r="E398" s="39"/>
      <c r="F398" s="39" t="s">
        <v>534</v>
      </c>
      <c r="G398" s="44">
        <v>0.5</v>
      </c>
      <c r="H398" s="39" t="s">
        <v>101</v>
      </c>
      <c r="I398" s="39" t="s">
        <v>102</v>
      </c>
      <c r="J398" s="41">
        <v>3000</v>
      </c>
      <c r="K398" s="42">
        <v>20.5</v>
      </c>
      <c r="L398" s="43"/>
      <c r="M398" s="43">
        <f>L398*K398</f>
        <v>0</v>
      </c>
      <c r="N398" s="35">
        <v>4607015186086</v>
      </c>
    </row>
    <row r="399" spans="1:14" ht="36" customHeight="1" outlineLevel="3" x14ac:dyDescent="0.2">
      <c r="A399" s="45">
        <v>16172</v>
      </c>
      <c r="B399" s="37" t="str">
        <f>HYPERLINK("http://sedek.ru/upload/iblock/037/dynya_imperskaya_delikatesnaya.jpg","фото")</f>
        <v>фото</v>
      </c>
      <c r="C399" s="38"/>
      <c r="D399" s="38" t="s">
        <v>266</v>
      </c>
      <c r="E399" s="39"/>
      <c r="F399" s="39" t="s">
        <v>535</v>
      </c>
      <c r="G399" s="44">
        <v>0.5</v>
      </c>
      <c r="H399" s="39" t="s">
        <v>101</v>
      </c>
      <c r="I399" s="39" t="s">
        <v>102</v>
      </c>
      <c r="J399" s="41">
        <v>3000</v>
      </c>
      <c r="K399" s="42">
        <v>20.5</v>
      </c>
      <c r="L399" s="43"/>
      <c r="M399" s="43">
        <f>L399*K399</f>
        <v>0</v>
      </c>
      <c r="N399" s="35">
        <v>4607149404278</v>
      </c>
    </row>
    <row r="400" spans="1:14" ht="24" customHeight="1" outlineLevel="3" x14ac:dyDescent="0.2">
      <c r="A400" s="45">
        <v>14008</v>
      </c>
      <c r="B400" s="37" t="str">
        <f>HYPERLINK("http://sedek.ru/upload/iblock/a04/dynya_kanareechnaya_medovaya.jpg","фото")</f>
        <v>фото</v>
      </c>
      <c r="C400" s="38"/>
      <c r="D400" s="38"/>
      <c r="E400" s="39"/>
      <c r="F400" s="39" t="s">
        <v>536</v>
      </c>
      <c r="G400" s="44">
        <v>0.5</v>
      </c>
      <c r="H400" s="39" t="s">
        <v>101</v>
      </c>
      <c r="I400" s="39" t="s">
        <v>102</v>
      </c>
      <c r="J400" s="41">
        <v>3000</v>
      </c>
      <c r="K400" s="42">
        <v>20.5</v>
      </c>
      <c r="L400" s="43"/>
      <c r="M400" s="43">
        <f>L400*K400</f>
        <v>0</v>
      </c>
      <c r="N400" s="35">
        <v>4607149404285</v>
      </c>
    </row>
    <row r="401" spans="1:14" ht="24" customHeight="1" outlineLevel="3" x14ac:dyDescent="0.2">
      <c r="A401" s="36" t="s">
        <v>537</v>
      </c>
      <c r="B401" s="37" t="str">
        <f>HYPERLINK("http://sedek.ru/upload/iblock/a67/dynya_kolkhoznitsa_749_753.jpg","фото")</f>
        <v>фото</v>
      </c>
      <c r="C401" s="38"/>
      <c r="D401" s="38"/>
      <c r="E401" s="39"/>
      <c r="F401" s="39" t="s">
        <v>538</v>
      </c>
      <c r="G401" s="44">
        <v>0.5</v>
      </c>
      <c r="H401" s="39" t="s">
        <v>101</v>
      </c>
      <c r="I401" s="39" t="s">
        <v>102</v>
      </c>
      <c r="J401" s="41">
        <v>3000</v>
      </c>
      <c r="K401" s="42">
        <v>15.6</v>
      </c>
      <c r="L401" s="43"/>
      <c r="M401" s="43">
        <f>L401*K401</f>
        <v>0</v>
      </c>
      <c r="N401" s="35">
        <v>4607149401529</v>
      </c>
    </row>
    <row r="402" spans="1:14" ht="24" customHeight="1" outlineLevel="3" x14ac:dyDescent="0.2">
      <c r="A402" s="45">
        <v>14695</v>
      </c>
      <c r="B402" s="37" t="str">
        <f>HYPERLINK("http://sedek.ru/upload/iblock/759/dynya_lada.jpg","фото")</f>
        <v>фото</v>
      </c>
      <c r="C402" s="38"/>
      <c r="D402" s="38" t="s">
        <v>266</v>
      </c>
      <c r="E402" s="39"/>
      <c r="F402" s="39" t="s">
        <v>539</v>
      </c>
      <c r="G402" s="44">
        <v>0.5</v>
      </c>
      <c r="H402" s="39" t="s">
        <v>101</v>
      </c>
      <c r="I402" s="39" t="s">
        <v>102</v>
      </c>
      <c r="J402" s="41">
        <v>3000</v>
      </c>
      <c r="K402" s="42">
        <v>15.6</v>
      </c>
      <c r="L402" s="43"/>
      <c r="M402" s="43">
        <f>L402*K402</f>
        <v>0</v>
      </c>
      <c r="N402" s="35">
        <v>4690368008747</v>
      </c>
    </row>
    <row r="403" spans="1:14" ht="24" customHeight="1" outlineLevel="3" x14ac:dyDescent="0.2">
      <c r="A403" s="45">
        <v>13631</v>
      </c>
      <c r="B403" s="37" t="str">
        <f>HYPERLINK("http://sedek.ru/upload/iblock/10b/dynya_medovaya_gigantskaya.jpg","фото")</f>
        <v>фото</v>
      </c>
      <c r="C403" s="38"/>
      <c r="D403" s="38"/>
      <c r="E403" s="39"/>
      <c r="F403" s="39" t="s">
        <v>540</v>
      </c>
      <c r="G403" s="44">
        <v>0.5</v>
      </c>
      <c r="H403" s="39" t="s">
        <v>101</v>
      </c>
      <c r="I403" s="39" t="s">
        <v>102</v>
      </c>
      <c r="J403" s="41">
        <v>3000</v>
      </c>
      <c r="K403" s="42">
        <v>20.5</v>
      </c>
      <c r="L403" s="43"/>
      <c r="M403" s="43">
        <f>L403*K403</f>
        <v>0</v>
      </c>
      <c r="N403" s="35">
        <v>4690368022026</v>
      </c>
    </row>
    <row r="404" spans="1:14" ht="24" customHeight="1" outlineLevel="3" x14ac:dyDescent="0.2">
      <c r="A404" s="45">
        <v>14351</v>
      </c>
      <c r="B404" s="37" t="str">
        <f>HYPERLINK("http://sedek.ru/upload/iblock/f22/dynya_medovukha_f1.jpg","фото")</f>
        <v>фото</v>
      </c>
      <c r="C404" s="38"/>
      <c r="D404" s="38"/>
      <c r="E404" s="39"/>
      <c r="F404" s="39" t="s">
        <v>541</v>
      </c>
      <c r="G404" s="44">
        <v>0.5</v>
      </c>
      <c r="H404" s="39" t="s">
        <v>101</v>
      </c>
      <c r="I404" s="39" t="s">
        <v>102</v>
      </c>
      <c r="J404" s="41">
        <v>3000</v>
      </c>
      <c r="K404" s="42">
        <v>24.9</v>
      </c>
      <c r="L404" s="43"/>
      <c r="M404" s="43">
        <f>L404*K404</f>
        <v>0</v>
      </c>
      <c r="N404" s="35">
        <v>4690368012775</v>
      </c>
    </row>
    <row r="405" spans="1:14" ht="24" customHeight="1" outlineLevel="3" x14ac:dyDescent="0.2">
      <c r="A405" s="45">
        <v>16268</v>
      </c>
      <c r="B405" s="37" t="str">
        <f>HYPERLINK("http://sedek.ru/upload/iblock/b7d/dynya_melba.jpg","фото")</f>
        <v>фото</v>
      </c>
      <c r="C405" s="38"/>
      <c r="D405" s="38"/>
      <c r="E405" s="39"/>
      <c r="F405" s="39" t="s">
        <v>542</v>
      </c>
      <c r="G405" s="44">
        <v>0.5</v>
      </c>
      <c r="H405" s="39" t="s">
        <v>101</v>
      </c>
      <c r="I405" s="39" t="s">
        <v>102</v>
      </c>
      <c r="J405" s="41">
        <v>3000</v>
      </c>
      <c r="K405" s="42">
        <v>19.3</v>
      </c>
      <c r="L405" s="43"/>
      <c r="M405" s="43">
        <f>L405*K405</f>
        <v>0</v>
      </c>
      <c r="N405" s="35">
        <v>4607015186116</v>
      </c>
    </row>
    <row r="406" spans="1:14" ht="24" customHeight="1" outlineLevel="3" x14ac:dyDescent="0.2">
      <c r="A406" s="45">
        <v>15281</v>
      </c>
      <c r="B406" s="37" t="str">
        <f>HYPERLINK("http://sedek.ru/upload/iblock/b33/dynya_muskatnaya_belaya.jpg","фото")</f>
        <v>фото</v>
      </c>
      <c r="C406" s="38"/>
      <c r="D406" s="38"/>
      <c r="E406" s="39"/>
      <c r="F406" s="39" t="s">
        <v>543</v>
      </c>
      <c r="G406" s="44">
        <v>0.5</v>
      </c>
      <c r="H406" s="39" t="s">
        <v>101</v>
      </c>
      <c r="I406" s="39" t="s">
        <v>102</v>
      </c>
      <c r="J406" s="41">
        <v>3000</v>
      </c>
      <c r="K406" s="42">
        <v>20.5</v>
      </c>
      <c r="L406" s="43"/>
      <c r="M406" s="43">
        <f>L406*K406</f>
        <v>0</v>
      </c>
      <c r="N406" s="35">
        <v>4607116269596</v>
      </c>
    </row>
    <row r="407" spans="1:14" ht="24" customHeight="1" outlineLevel="3" x14ac:dyDescent="0.2">
      <c r="A407" s="45">
        <v>15281</v>
      </c>
      <c r="B407" s="37" t="str">
        <f>HYPERLINK("http://sedek.ru/upload/iblock/b33/dynya_muskatnaya_belaya.jpg","фото")</f>
        <v>фото</v>
      </c>
      <c r="C407" s="38"/>
      <c r="D407" s="38"/>
      <c r="E407" s="39"/>
      <c r="F407" s="39" t="s">
        <v>544</v>
      </c>
      <c r="G407" s="44">
        <v>0.5</v>
      </c>
      <c r="H407" s="39" t="s">
        <v>101</v>
      </c>
      <c r="I407" s="39" t="s">
        <v>287</v>
      </c>
      <c r="J407" s="41">
        <v>3000</v>
      </c>
      <c r="K407" s="42">
        <v>8.1</v>
      </c>
      <c r="L407" s="43"/>
      <c r="M407" s="43">
        <f>L407*K407</f>
        <v>0</v>
      </c>
      <c r="N407" s="35">
        <v>4607149409594</v>
      </c>
    </row>
    <row r="408" spans="1:14" ht="24" customHeight="1" outlineLevel="3" x14ac:dyDescent="0.2">
      <c r="A408" s="45">
        <v>15345</v>
      </c>
      <c r="B408" s="37" t="str">
        <f>HYPERLINK("http://sedek.ru/upload/iblock/7b5/dynya_osen.jpg","фото")</f>
        <v>фото</v>
      </c>
      <c r="C408" s="38"/>
      <c r="D408" s="38"/>
      <c r="E408" s="39"/>
      <c r="F408" s="39" t="s">
        <v>545</v>
      </c>
      <c r="G408" s="44">
        <v>0.5</v>
      </c>
      <c r="H408" s="39" t="s">
        <v>101</v>
      </c>
      <c r="I408" s="39" t="s">
        <v>102</v>
      </c>
      <c r="J408" s="41">
        <v>3000</v>
      </c>
      <c r="K408" s="42">
        <v>19.3</v>
      </c>
      <c r="L408" s="43"/>
      <c r="M408" s="43">
        <f>L408*K408</f>
        <v>0</v>
      </c>
      <c r="N408" s="35">
        <v>4690368008754</v>
      </c>
    </row>
    <row r="409" spans="1:14" ht="24" customHeight="1" outlineLevel="3" x14ac:dyDescent="0.2">
      <c r="A409" s="45">
        <v>15530</v>
      </c>
      <c r="B409" s="37" t="str">
        <f>HYPERLINK("http://sedek.ru/upload/iblock/d1b/dynya_printsessa_aleksandra_f1.JPG","фото")</f>
        <v>фото</v>
      </c>
      <c r="C409" s="38"/>
      <c r="D409" s="38"/>
      <c r="E409" s="39"/>
      <c r="F409" s="39" t="s">
        <v>546</v>
      </c>
      <c r="G409" s="44">
        <v>0.2</v>
      </c>
      <c r="H409" s="39" t="s">
        <v>101</v>
      </c>
      <c r="I409" s="39" t="s">
        <v>102</v>
      </c>
      <c r="J409" s="41">
        <v>3000</v>
      </c>
      <c r="K409" s="42">
        <v>47</v>
      </c>
      <c r="L409" s="43"/>
      <c r="M409" s="43">
        <f>L409*K409</f>
        <v>0</v>
      </c>
      <c r="N409" s="35">
        <v>4690368015936</v>
      </c>
    </row>
    <row r="410" spans="1:14" ht="24" customHeight="1" outlineLevel="3" x14ac:dyDescent="0.2">
      <c r="A410" s="45">
        <v>15902</v>
      </c>
      <c r="B410" s="37" t="str">
        <f>HYPERLINK("http://sedek.ru/upload/iblock/7de/dynya_printsessa_anna_f1.jpg","фото")</f>
        <v>фото</v>
      </c>
      <c r="C410" s="38"/>
      <c r="D410" s="38"/>
      <c r="E410" s="39"/>
      <c r="F410" s="39" t="s">
        <v>547</v>
      </c>
      <c r="G410" s="44">
        <v>0.2</v>
      </c>
      <c r="H410" s="39" t="s">
        <v>101</v>
      </c>
      <c r="I410" s="39" t="s">
        <v>102</v>
      </c>
      <c r="J410" s="41">
        <v>3000</v>
      </c>
      <c r="K410" s="42">
        <v>78</v>
      </c>
      <c r="L410" s="43"/>
      <c r="M410" s="43">
        <f>L410*K410</f>
        <v>0</v>
      </c>
      <c r="N410" s="35">
        <v>4607116267134</v>
      </c>
    </row>
    <row r="411" spans="1:14" ht="24" customHeight="1" outlineLevel="3" x14ac:dyDescent="0.2">
      <c r="A411" s="45">
        <v>15843</v>
      </c>
      <c r="B411" s="37" t="str">
        <f>HYPERLINK("http://www.sedek.ru/upload/iblock/4ce/dynya_printsessa_diana_f1.jpg","фото")</f>
        <v>фото</v>
      </c>
      <c r="C411" s="38"/>
      <c r="D411" s="38"/>
      <c r="E411" s="39"/>
      <c r="F411" s="39" t="s">
        <v>548</v>
      </c>
      <c r="G411" s="44">
        <v>0.2</v>
      </c>
      <c r="H411" s="39" t="s">
        <v>101</v>
      </c>
      <c r="I411" s="39" t="s">
        <v>102</v>
      </c>
      <c r="J411" s="41">
        <v>3000</v>
      </c>
      <c r="K411" s="42">
        <v>78</v>
      </c>
      <c r="L411" s="43"/>
      <c r="M411" s="43">
        <f>L411*K411</f>
        <v>0</v>
      </c>
      <c r="N411" s="35">
        <v>4607116267141</v>
      </c>
    </row>
    <row r="412" spans="1:14" ht="36" customHeight="1" outlineLevel="3" x14ac:dyDescent="0.2">
      <c r="A412" s="36" t="s">
        <v>549</v>
      </c>
      <c r="B412" s="37" t="str">
        <f>HYPERLINK("http://www.sedek.ru/upload/iblock/d25/dynya_printsessa_ekaterina_f1.jpg","фото")</f>
        <v>фото</v>
      </c>
      <c r="C412" s="38"/>
      <c r="D412" s="38"/>
      <c r="E412" s="39"/>
      <c r="F412" s="39" t="s">
        <v>550</v>
      </c>
      <c r="G412" s="44">
        <v>0.2</v>
      </c>
      <c r="H412" s="39" t="s">
        <v>101</v>
      </c>
      <c r="I412" s="39" t="s">
        <v>102</v>
      </c>
      <c r="J412" s="41">
        <v>3000</v>
      </c>
      <c r="K412" s="42">
        <v>51.8</v>
      </c>
      <c r="L412" s="43"/>
      <c r="M412" s="43">
        <f>L412*K412</f>
        <v>0</v>
      </c>
      <c r="N412" s="35">
        <v>4690368030922</v>
      </c>
    </row>
    <row r="413" spans="1:14" ht="36" customHeight="1" outlineLevel="3" x14ac:dyDescent="0.2">
      <c r="A413" s="45">
        <v>15414</v>
      </c>
      <c r="B413" s="37" t="str">
        <f>HYPERLINK("http://sedek.ru/upload/iblock/ea9/dynya_printsessa_elizaveta_f1.jpg","фото")</f>
        <v>фото</v>
      </c>
      <c r="C413" s="38"/>
      <c r="D413" s="38"/>
      <c r="E413" s="39"/>
      <c r="F413" s="39" t="s">
        <v>551</v>
      </c>
      <c r="G413" s="44">
        <v>0.2</v>
      </c>
      <c r="H413" s="39" t="s">
        <v>101</v>
      </c>
      <c r="I413" s="39" t="s">
        <v>102</v>
      </c>
      <c r="J413" s="41">
        <v>3000</v>
      </c>
      <c r="K413" s="42">
        <v>60</v>
      </c>
      <c r="L413" s="43"/>
      <c r="M413" s="43">
        <f>L413*K413</f>
        <v>0</v>
      </c>
      <c r="N413" s="35">
        <v>4607116267158</v>
      </c>
    </row>
    <row r="414" spans="1:14" ht="24" customHeight="1" outlineLevel="3" x14ac:dyDescent="0.2">
      <c r="A414" s="45">
        <v>15915</v>
      </c>
      <c r="B414" s="37" t="str">
        <f>HYPERLINK("http://sedek.ru/upload/iblock/10b/dynya_printsessa_mariya_f1.jpg","фото")</f>
        <v>фото</v>
      </c>
      <c r="C414" s="38"/>
      <c r="D414" s="38"/>
      <c r="E414" s="39"/>
      <c r="F414" s="39" t="s">
        <v>552</v>
      </c>
      <c r="G414" s="44">
        <v>0.2</v>
      </c>
      <c r="H414" s="39" t="s">
        <v>101</v>
      </c>
      <c r="I414" s="39" t="s">
        <v>102</v>
      </c>
      <c r="J414" s="41">
        <v>3000</v>
      </c>
      <c r="K414" s="42">
        <v>46.4</v>
      </c>
      <c r="L414" s="43"/>
      <c r="M414" s="43">
        <f>L414*K414</f>
        <v>0</v>
      </c>
      <c r="N414" s="35">
        <v>4607116267165</v>
      </c>
    </row>
    <row r="415" spans="1:14" ht="36" customHeight="1" outlineLevel="3" x14ac:dyDescent="0.2">
      <c r="A415" s="45">
        <v>14884</v>
      </c>
      <c r="B415" s="37" t="str">
        <f>HYPERLINK("http://sedek.ru/upload/iblock/65b/dynya_printsessa_svetlana_f1.jpg","фото")</f>
        <v>фото</v>
      </c>
      <c r="C415" s="38"/>
      <c r="D415" s="38"/>
      <c r="E415" s="39"/>
      <c r="F415" s="39" t="s">
        <v>553</v>
      </c>
      <c r="G415" s="44">
        <v>0.2</v>
      </c>
      <c r="H415" s="39" t="s">
        <v>101</v>
      </c>
      <c r="I415" s="39" t="s">
        <v>102</v>
      </c>
      <c r="J415" s="41">
        <v>3000</v>
      </c>
      <c r="K415" s="42">
        <v>47</v>
      </c>
      <c r="L415" s="43"/>
      <c r="M415" s="43">
        <f>L415*K415</f>
        <v>0</v>
      </c>
      <c r="N415" s="35">
        <v>4607116267172</v>
      </c>
    </row>
    <row r="416" spans="1:14" ht="24" customHeight="1" outlineLevel="3" x14ac:dyDescent="0.2">
      <c r="A416" s="45">
        <v>15707</v>
      </c>
      <c r="B416" s="37" t="str">
        <f>HYPERLINK("http://sedek.ru/upload/iblock/d86/dynya_rannyaya_lyubov.jpg","фото")</f>
        <v>фото</v>
      </c>
      <c r="C416" s="38"/>
      <c r="D416" s="38"/>
      <c r="E416" s="39"/>
      <c r="F416" s="39" t="s">
        <v>554</v>
      </c>
      <c r="G416" s="44">
        <v>0.5</v>
      </c>
      <c r="H416" s="39" t="s">
        <v>101</v>
      </c>
      <c r="I416" s="39" t="s">
        <v>102</v>
      </c>
      <c r="J416" s="41">
        <v>3000</v>
      </c>
      <c r="K416" s="42">
        <v>20.5</v>
      </c>
      <c r="L416" s="43"/>
      <c r="M416" s="43">
        <f>L416*K416</f>
        <v>0</v>
      </c>
      <c r="N416" s="35">
        <v>4607015186123</v>
      </c>
    </row>
    <row r="417" spans="1:14" ht="24" customHeight="1" outlineLevel="3" x14ac:dyDescent="0.2">
      <c r="A417" s="45">
        <v>14183</v>
      </c>
      <c r="B417" s="37" t="str">
        <f>HYPERLINK("http://sedek.ru/upload/iblock/5f6/dynya_rannyaya_sladkaya.jpg","фото")</f>
        <v>фото</v>
      </c>
      <c r="C417" s="38"/>
      <c r="D417" s="38"/>
      <c r="E417" s="39"/>
      <c r="F417" s="39" t="s">
        <v>555</v>
      </c>
      <c r="G417" s="44">
        <v>0.5</v>
      </c>
      <c r="H417" s="39" t="s">
        <v>101</v>
      </c>
      <c r="I417" s="39" t="s">
        <v>102</v>
      </c>
      <c r="J417" s="41">
        <v>3000</v>
      </c>
      <c r="K417" s="42">
        <v>20.5</v>
      </c>
      <c r="L417" s="43"/>
      <c r="M417" s="43">
        <f>L417*K417</f>
        <v>0</v>
      </c>
      <c r="N417" s="35">
        <v>4607015186130</v>
      </c>
    </row>
    <row r="418" spans="1:14" ht="24" customHeight="1" outlineLevel="3" x14ac:dyDescent="0.2">
      <c r="A418" s="45">
        <v>13635</v>
      </c>
      <c r="B418" s="37" t="str">
        <f>HYPERLINK("http://sedek.ru/upload/iblock/397/dynya_sakharnyy_naliv.JPG","фото")</f>
        <v>фото</v>
      </c>
      <c r="C418" s="38"/>
      <c r="D418" s="38"/>
      <c r="E418" s="39"/>
      <c r="F418" s="39" t="s">
        <v>556</v>
      </c>
      <c r="G418" s="44">
        <v>0.5</v>
      </c>
      <c r="H418" s="39" t="s">
        <v>101</v>
      </c>
      <c r="I418" s="39" t="s">
        <v>102</v>
      </c>
      <c r="J418" s="41">
        <v>3000</v>
      </c>
      <c r="K418" s="42">
        <v>20.5</v>
      </c>
      <c r="L418" s="43"/>
      <c r="M418" s="43">
        <f>L418*K418</f>
        <v>0</v>
      </c>
      <c r="N418" s="35">
        <v>4690368022033</v>
      </c>
    </row>
    <row r="419" spans="1:14" ht="24" customHeight="1" outlineLevel="3" x14ac:dyDescent="0.2">
      <c r="A419" s="45">
        <v>13633</v>
      </c>
      <c r="B419" s="37" t="str">
        <f>HYPERLINK("http://sedek.ru/upload/iblock/7d5/dynya_sladostrastnitsa_f1.jpg","фото")</f>
        <v>фото</v>
      </c>
      <c r="C419" s="38"/>
      <c r="D419" s="38"/>
      <c r="E419" s="39"/>
      <c r="F419" s="39" t="s">
        <v>557</v>
      </c>
      <c r="G419" s="44">
        <v>0.2</v>
      </c>
      <c r="H419" s="39" t="s">
        <v>101</v>
      </c>
      <c r="I419" s="39" t="s">
        <v>102</v>
      </c>
      <c r="J419" s="41">
        <v>3000</v>
      </c>
      <c r="K419" s="42">
        <v>40.1</v>
      </c>
      <c r="L419" s="43"/>
      <c r="M419" s="43">
        <f>L419*K419</f>
        <v>0</v>
      </c>
      <c r="N419" s="35">
        <v>4690368022040</v>
      </c>
    </row>
    <row r="420" spans="1:14" ht="48" customHeight="1" outlineLevel="3" x14ac:dyDescent="0.2">
      <c r="A420" s="45">
        <v>16173</v>
      </c>
      <c r="B420" s="37" t="str">
        <f>HYPERLINK("http://sedek.ru/upload/iblock/5fc/dynya_smes_rannikh_sortov_dlya_kholodnogo_klimata.jpg","фото")</f>
        <v>фото</v>
      </c>
      <c r="C420" s="38"/>
      <c r="D420" s="38"/>
      <c r="E420" s="39"/>
      <c r="F420" s="39" t="s">
        <v>558</v>
      </c>
      <c r="G420" s="44">
        <v>0.5</v>
      </c>
      <c r="H420" s="39" t="s">
        <v>101</v>
      </c>
      <c r="I420" s="39" t="s">
        <v>102</v>
      </c>
      <c r="J420" s="41">
        <v>3000</v>
      </c>
      <c r="K420" s="42">
        <v>18.8</v>
      </c>
      <c r="L420" s="43"/>
      <c r="M420" s="43">
        <f>L420*K420</f>
        <v>0</v>
      </c>
      <c r="N420" s="35">
        <v>4690368009294</v>
      </c>
    </row>
    <row r="421" spans="1:14" ht="24" customHeight="1" outlineLevel="3" x14ac:dyDescent="0.2">
      <c r="A421" s="45">
        <v>15357</v>
      </c>
      <c r="B421" s="37" t="str">
        <f>HYPERLINK("http://sedek.ru/upload/iblock/977/dynya_sharlotta.jpg","фото")</f>
        <v>фото</v>
      </c>
      <c r="C421" s="38"/>
      <c r="D421" s="38"/>
      <c r="E421" s="39"/>
      <c r="F421" s="39" t="s">
        <v>559</v>
      </c>
      <c r="G421" s="40">
        <v>1</v>
      </c>
      <c r="H421" s="39" t="s">
        <v>101</v>
      </c>
      <c r="I421" s="39" t="s">
        <v>102</v>
      </c>
      <c r="J421" s="41">
        <v>2000</v>
      </c>
      <c r="K421" s="42">
        <v>21.9</v>
      </c>
      <c r="L421" s="43"/>
      <c r="M421" s="43">
        <f>L421*K421</f>
        <v>0</v>
      </c>
      <c r="N421" s="35">
        <v>4607015186154</v>
      </c>
    </row>
    <row r="422" spans="1:14" ht="12" customHeight="1" outlineLevel="2" x14ac:dyDescent="0.2">
      <c r="A422" s="22"/>
      <c r="B422" s="23"/>
      <c r="C422" s="23"/>
      <c r="D422" s="23"/>
      <c r="E422" s="24"/>
      <c r="F422" s="24" t="s">
        <v>560</v>
      </c>
      <c r="G422" s="24"/>
      <c r="H422" s="24"/>
      <c r="I422" s="24"/>
      <c r="J422" s="24"/>
      <c r="K422" s="24"/>
      <c r="L422" s="24"/>
      <c r="M422" s="24"/>
      <c r="N422" s="25"/>
    </row>
    <row r="423" spans="1:14" ht="36" customHeight="1" outlineLevel="3" x14ac:dyDescent="0.2">
      <c r="A423" s="45">
        <v>13516</v>
      </c>
      <c r="B423" s="37" t="str">
        <f>HYPERLINK("http://sedek.ru/upload/iblock/c5b/zemlyanika_ali_baba.jpg","фото")</f>
        <v>фото</v>
      </c>
      <c r="C423" s="38"/>
      <c r="D423" s="38"/>
      <c r="E423" s="39"/>
      <c r="F423" s="39" t="s">
        <v>561</v>
      </c>
      <c r="G423" s="54">
        <v>0.04</v>
      </c>
      <c r="H423" s="39" t="s">
        <v>101</v>
      </c>
      <c r="I423" s="39" t="s">
        <v>102</v>
      </c>
      <c r="J423" s="41">
        <v>5000</v>
      </c>
      <c r="K423" s="42">
        <v>21.2</v>
      </c>
      <c r="L423" s="43"/>
      <c r="M423" s="43">
        <f>L423*K423</f>
        <v>0</v>
      </c>
      <c r="N423" s="35">
        <v>4607015186178</v>
      </c>
    </row>
    <row r="424" spans="1:14" ht="36" customHeight="1" outlineLevel="3" x14ac:dyDescent="0.2">
      <c r="A424" s="45">
        <v>16777</v>
      </c>
      <c r="B424" s="37" t="str">
        <f>HYPERLINK("http://sedek.ru/upload/iblock/c03/zemlyanika_remontantnaya_ananasnaya.jpg","фото")</f>
        <v>фото</v>
      </c>
      <c r="C424" s="38"/>
      <c r="D424" s="38"/>
      <c r="E424" s="39"/>
      <c r="F424" s="39" t="s">
        <v>562</v>
      </c>
      <c r="G424" s="54">
        <v>0.04</v>
      </c>
      <c r="H424" s="39" t="s">
        <v>101</v>
      </c>
      <c r="I424" s="39" t="s">
        <v>102</v>
      </c>
      <c r="J424" s="41">
        <v>5000</v>
      </c>
      <c r="K424" s="42">
        <v>20</v>
      </c>
      <c r="L424" s="43"/>
      <c r="M424" s="43">
        <f>L424*K424</f>
        <v>0</v>
      </c>
      <c r="N424" s="35">
        <v>4690368015943</v>
      </c>
    </row>
    <row r="425" spans="1:14" ht="36" customHeight="1" outlineLevel="3" x14ac:dyDescent="0.2">
      <c r="A425" s="45">
        <v>15790</v>
      </c>
      <c r="B425" s="37" t="str">
        <f>HYPERLINK("http://sedek.ru/upload/iblock/b9e/zemlyanika_baron_solemakher.jpg","фото")</f>
        <v>фото</v>
      </c>
      <c r="C425" s="38"/>
      <c r="D425" s="38"/>
      <c r="E425" s="39"/>
      <c r="F425" s="39" t="s">
        <v>563</v>
      </c>
      <c r="G425" s="54">
        <v>0.04</v>
      </c>
      <c r="H425" s="39" t="s">
        <v>101</v>
      </c>
      <c r="I425" s="39" t="s">
        <v>102</v>
      </c>
      <c r="J425" s="41">
        <v>5000</v>
      </c>
      <c r="K425" s="42">
        <v>21.2</v>
      </c>
      <c r="L425" s="43"/>
      <c r="M425" s="43">
        <f>L425*K425</f>
        <v>0</v>
      </c>
      <c r="N425" s="35">
        <v>4607015186185</v>
      </c>
    </row>
    <row r="426" spans="1:14" ht="36" customHeight="1" outlineLevel="3" x14ac:dyDescent="0.2">
      <c r="A426" s="45">
        <v>14402</v>
      </c>
      <c r="B426" s="37" t="str">
        <f>HYPERLINK("http://sedek.ru/upload/iblock/da2/zemlyanika_belosnezhka.jpg","фото")</f>
        <v>фото</v>
      </c>
      <c r="C426" s="38"/>
      <c r="D426" s="38"/>
      <c r="E426" s="39"/>
      <c r="F426" s="39" t="s">
        <v>564</v>
      </c>
      <c r="G426" s="54">
        <v>0.04</v>
      </c>
      <c r="H426" s="39" t="s">
        <v>101</v>
      </c>
      <c r="I426" s="39" t="s">
        <v>102</v>
      </c>
      <c r="J426" s="41">
        <v>5000</v>
      </c>
      <c r="K426" s="42">
        <v>18.8</v>
      </c>
      <c r="L426" s="43"/>
      <c r="M426" s="43">
        <f>L426*K426</f>
        <v>0</v>
      </c>
      <c r="N426" s="35">
        <v>4607015186192</v>
      </c>
    </row>
    <row r="427" spans="1:14" ht="36" customHeight="1" outlineLevel="3" x14ac:dyDescent="0.2">
      <c r="A427" s="45">
        <v>15852</v>
      </c>
      <c r="B427" s="37" t="str">
        <f>HYPERLINK("http://sedek.ru/upload/iblock/b2e/zemlyanika_vremena_goda.jpg","фото")</f>
        <v>фото</v>
      </c>
      <c r="C427" s="38"/>
      <c r="D427" s="38"/>
      <c r="E427" s="39"/>
      <c r="F427" s="39" t="s">
        <v>565</v>
      </c>
      <c r="G427" s="54">
        <v>0.04</v>
      </c>
      <c r="H427" s="39" t="s">
        <v>101</v>
      </c>
      <c r="I427" s="39" t="s">
        <v>102</v>
      </c>
      <c r="J427" s="41">
        <v>5000</v>
      </c>
      <c r="K427" s="42">
        <v>32.299999999999997</v>
      </c>
      <c r="L427" s="43"/>
      <c r="M427" s="43">
        <f>L427*K427</f>
        <v>0</v>
      </c>
      <c r="N427" s="35">
        <v>4607015186208</v>
      </c>
    </row>
    <row r="428" spans="1:14" ht="36" customHeight="1" outlineLevel="3" x14ac:dyDescent="0.2">
      <c r="A428" s="45">
        <v>15820</v>
      </c>
      <c r="B428" s="37" t="str">
        <f>HYPERLINK("http://sedek.ru/upload/iblock/262/zemlyanika_irishka_f1.jpg","фото")</f>
        <v>фото</v>
      </c>
      <c r="C428" s="38"/>
      <c r="D428" s="38"/>
      <c r="E428" s="39"/>
      <c r="F428" s="39" t="s">
        <v>566</v>
      </c>
      <c r="G428" s="54">
        <v>0.09</v>
      </c>
      <c r="H428" s="39" t="s">
        <v>101</v>
      </c>
      <c r="I428" s="39" t="s">
        <v>102</v>
      </c>
      <c r="J428" s="41">
        <v>5000</v>
      </c>
      <c r="K428" s="42">
        <v>100.6</v>
      </c>
      <c r="L428" s="43"/>
      <c r="M428" s="43">
        <f>L428*K428</f>
        <v>0</v>
      </c>
      <c r="N428" s="35">
        <v>4607149406395</v>
      </c>
    </row>
    <row r="429" spans="1:14" ht="36" customHeight="1" outlineLevel="3" x14ac:dyDescent="0.2">
      <c r="A429" s="45">
        <v>13605</v>
      </c>
      <c r="B429" s="37" t="str">
        <f>HYPERLINK("http://sedek.ru/upload/iblock/5bb/zemlyanika_lesnaya_skazka.jpg","фото")</f>
        <v>фото</v>
      </c>
      <c r="C429" s="38"/>
      <c r="D429" s="38"/>
      <c r="E429" s="39"/>
      <c r="F429" s="39" t="s">
        <v>567</v>
      </c>
      <c r="G429" s="54">
        <v>0.04</v>
      </c>
      <c r="H429" s="39" t="s">
        <v>101</v>
      </c>
      <c r="I429" s="39" t="s">
        <v>102</v>
      </c>
      <c r="J429" s="41">
        <v>5000</v>
      </c>
      <c r="K429" s="42">
        <v>20.8</v>
      </c>
      <c r="L429" s="43"/>
      <c r="M429" s="43">
        <f>L429*K429</f>
        <v>0</v>
      </c>
      <c r="N429" s="35">
        <v>4607015186215</v>
      </c>
    </row>
    <row r="430" spans="1:14" ht="36" customHeight="1" outlineLevel="3" x14ac:dyDescent="0.2">
      <c r="A430" s="45">
        <v>13824</v>
      </c>
      <c r="B430" s="37" t="str">
        <f>HYPERLINK("http://sedek.ru/upload/iblock/00a/zemlyanika_lizonka_f1.jpg","фото")</f>
        <v>фото</v>
      </c>
      <c r="C430" s="38"/>
      <c r="D430" s="38" t="s">
        <v>266</v>
      </c>
      <c r="E430" s="39"/>
      <c r="F430" s="39" t="s">
        <v>568</v>
      </c>
      <c r="G430" s="40">
        <v>15</v>
      </c>
      <c r="H430" s="39" t="s">
        <v>307</v>
      </c>
      <c r="I430" s="39" t="s">
        <v>102</v>
      </c>
      <c r="J430" s="41">
        <v>5000</v>
      </c>
      <c r="K430" s="42">
        <v>100.6</v>
      </c>
      <c r="L430" s="43"/>
      <c r="M430" s="43">
        <f>L430*K430</f>
        <v>0</v>
      </c>
      <c r="N430" s="35">
        <v>4607116269503</v>
      </c>
    </row>
    <row r="431" spans="1:14" ht="36" customHeight="1" outlineLevel="3" x14ac:dyDescent="0.2">
      <c r="A431" s="45">
        <v>16776</v>
      </c>
      <c r="B431" s="37" t="str">
        <f>HYPERLINK("http://sedek.ru/upload/iblock/706/zemlyanika_remontantnaya_marmeladnaya.jpg","фото")</f>
        <v>фото</v>
      </c>
      <c r="C431" s="38"/>
      <c r="D431" s="38"/>
      <c r="E431" s="39"/>
      <c r="F431" s="39" t="s">
        <v>569</v>
      </c>
      <c r="G431" s="54">
        <v>0.04</v>
      </c>
      <c r="H431" s="39" t="s">
        <v>101</v>
      </c>
      <c r="I431" s="39" t="s">
        <v>102</v>
      </c>
      <c r="J431" s="41">
        <v>5000</v>
      </c>
      <c r="K431" s="42">
        <v>21.2</v>
      </c>
      <c r="L431" s="43"/>
      <c r="M431" s="43">
        <f>L431*K431</f>
        <v>0</v>
      </c>
      <c r="N431" s="35">
        <v>4690368015950</v>
      </c>
    </row>
    <row r="432" spans="1:14" ht="36" customHeight="1" outlineLevel="3" x14ac:dyDescent="0.2">
      <c r="A432" s="45">
        <v>15502</v>
      </c>
      <c r="B432" s="37" t="str">
        <f>HYPERLINK("http://sedek.ru/upload/iblock/128/zemlyanika_nastenka_f1.jpg","фото")</f>
        <v>фото</v>
      </c>
      <c r="C432" s="38"/>
      <c r="D432" s="38"/>
      <c r="E432" s="39"/>
      <c r="F432" s="39" t="s">
        <v>570</v>
      </c>
      <c r="G432" s="40">
        <v>15</v>
      </c>
      <c r="H432" s="39" t="s">
        <v>307</v>
      </c>
      <c r="I432" s="39" t="s">
        <v>102</v>
      </c>
      <c r="J432" s="41">
        <v>5000</v>
      </c>
      <c r="K432" s="42">
        <v>100.6</v>
      </c>
      <c r="L432" s="43"/>
      <c r="M432" s="43">
        <f>L432*K432</f>
        <v>0</v>
      </c>
      <c r="N432" s="35">
        <v>4690368010894</v>
      </c>
    </row>
    <row r="433" spans="1:14" ht="36" customHeight="1" outlineLevel="3" x14ac:dyDescent="0.2">
      <c r="A433" s="45">
        <v>16774</v>
      </c>
      <c r="B433" s="37" t="str">
        <f>HYPERLINK("http://sedek.ru/upload/iblock/fdb/klubnika_ogorodnitsa_f1_zemlyanika_sadovaya.jpg","фото")</f>
        <v>фото</v>
      </c>
      <c r="C433" s="38"/>
      <c r="D433" s="38"/>
      <c r="E433" s="39"/>
      <c r="F433" s="39" t="s">
        <v>571</v>
      </c>
      <c r="G433" s="40">
        <v>15</v>
      </c>
      <c r="H433" s="39" t="s">
        <v>307</v>
      </c>
      <c r="I433" s="39" t="s">
        <v>102</v>
      </c>
      <c r="J433" s="41">
        <v>5000</v>
      </c>
      <c r="K433" s="42">
        <v>100.6</v>
      </c>
      <c r="L433" s="43"/>
      <c r="M433" s="43">
        <f>L433*K433</f>
        <v>0</v>
      </c>
      <c r="N433" s="35">
        <v>4690368024068</v>
      </c>
    </row>
    <row r="434" spans="1:14" ht="36" customHeight="1" outlineLevel="3" x14ac:dyDescent="0.2">
      <c r="A434" s="45">
        <v>16771</v>
      </c>
      <c r="B434" s="37" t="str">
        <f>HYPERLINK("http://sedek.ru/upload/iblock/a3c/klubnika_radost_dachnika_f1_zemlyanika_sadovaya.jpg","фото")</f>
        <v>фото</v>
      </c>
      <c r="C434" s="38"/>
      <c r="D434" s="38"/>
      <c r="E434" s="39"/>
      <c r="F434" s="39" t="s">
        <v>572</v>
      </c>
      <c r="G434" s="40">
        <v>15</v>
      </c>
      <c r="H434" s="39" t="s">
        <v>307</v>
      </c>
      <c r="I434" s="39" t="s">
        <v>102</v>
      </c>
      <c r="J434" s="41">
        <v>5000</v>
      </c>
      <c r="K434" s="42">
        <v>100.6</v>
      </c>
      <c r="L434" s="43"/>
      <c r="M434" s="43">
        <f>L434*K434</f>
        <v>0</v>
      </c>
      <c r="N434" s="35">
        <v>4690368024075</v>
      </c>
    </row>
    <row r="435" spans="1:14" ht="36" customHeight="1" outlineLevel="3" x14ac:dyDescent="0.2">
      <c r="A435" s="45">
        <v>15214</v>
      </c>
      <c r="B435" s="37" t="str">
        <f>HYPERLINK("http://sedek.ru/upload/iblock/689/zemlyanika_reynskiy_vals.jpg","фото")</f>
        <v>фото</v>
      </c>
      <c r="C435" s="38"/>
      <c r="D435" s="38" t="s">
        <v>266</v>
      </c>
      <c r="E435" s="39"/>
      <c r="F435" s="39" t="s">
        <v>573</v>
      </c>
      <c r="G435" s="54">
        <v>0.04</v>
      </c>
      <c r="H435" s="39" t="s">
        <v>101</v>
      </c>
      <c r="I435" s="39" t="s">
        <v>102</v>
      </c>
      <c r="J435" s="41">
        <v>5000</v>
      </c>
      <c r="K435" s="42">
        <v>18.8</v>
      </c>
      <c r="L435" s="43"/>
      <c r="M435" s="43">
        <f>L435*K435</f>
        <v>0</v>
      </c>
      <c r="N435" s="35">
        <v>4607015186222</v>
      </c>
    </row>
    <row r="436" spans="1:14" ht="36" customHeight="1" outlineLevel="3" x14ac:dyDescent="0.2">
      <c r="A436" s="45">
        <v>16770</v>
      </c>
      <c r="B436" s="37" t="str">
        <f>HYPERLINK("http://sedek.ru/upload/iblock/a15/klubnika_rozovaya_mechta_f1_zemlyanika_sadovaya.jpg","фото")</f>
        <v>фото</v>
      </c>
      <c r="C436" s="38"/>
      <c r="D436" s="38" t="s">
        <v>266</v>
      </c>
      <c r="E436" s="39"/>
      <c r="F436" s="39" t="s">
        <v>574</v>
      </c>
      <c r="G436" s="54">
        <v>0.01</v>
      </c>
      <c r="H436" s="39" t="s">
        <v>101</v>
      </c>
      <c r="I436" s="39" t="s">
        <v>102</v>
      </c>
      <c r="J436" s="41">
        <v>5000</v>
      </c>
      <c r="K436" s="42">
        <v>100.6</v>
      </c>
      <c r="L436" s="43"/>
      <c r="M436" s="43">
        <f>L436*K436</f>
        <v>0</v>
      </c>
      <c r="N436" s="35">
        <v>4690368024082</v>
      </c>
    </row>
    <row r="437" spans="1:14" ht="36" customHeight="1" outlineLevel="3" x14ac:dyDescent="0.2">
      <c r="A437" s="45">
        <v>14171</v>
      </c>
      <c r="B437" s="37" t="str">
        <f>HYPERLINK("http://sedek.ru/upload/iblock/c77/zemlyanika_ryugen.jpg","фото")</f>
        <v>фото</v>
      </c>
      <c r="C437" s="38"/>
      <c r="D437" s="38" t="s">
        <v>266</v>
      </c>
      <c r="E437" s="39"/>
      <c r="F437" s="39" t="s">
        <v>575</v>
      </c>
      <c r="G437" s="54">
        <v>0.04</v>
      </c>
      <c r="H437" s="39" t="s">
        <v>101</v>
      </c>
      <c r="I437" s="39" t="s">
        <v>102</v>
      </c>
      <c r="J437" s="41">
        <v>5000</v>
      </c>
      <c r="K437" s="42">
        <v>18.8</v>
      </c>
      <c r="L437" s="43"/>
      <c r="M437" s="43">
        <f>L437*K437</f>
        <v>0</v>
      </c>
      <c r="N437" s="35">
        <v>4607015186239</v>
      </c>
    </row>
    <row r="438" spans="1:14" ht="36" customHeight="1" outlineLevel="3" x14ac:dyDescent="0.2">
      <c r="A438" s="45">
        <v>14482</v>
      </c>
      <c r="B438" s="37" t="str">
        <f>HYPERLINK("http://sedek.ru/upload/iblock/969/zemlyanika_sashenka_f1.jpg","фото")</f>
        <v>фото</v>
      </c>
      <c r="C438" s="38"/>
      <c r="D438" s="38"/>
      <c r="E438" s="39"/>
      <c r="F438" s="39" t="s">
        <v>576</v>
      </c>
      <c r="G438" s="40">
        <v>15</v>
      </c>
      <c r="H438" s="39" t="s">
        <v>307</v>
      </c>
      <c r="I438" s="39" t="s">
        <v>102</v>
      </c>
      <c r="J438" s="41">
        <v>5000</v>
      </c>
      <c r="K438" s="42">
        <v>100.6</v>
      </c>
      <c r="L438" s="43"/>
      <c r="M438" s="43">
        <f>L438*K438</f>
        <v>0</v>
      </c>
      <c r="N438" s="35">
        <v>4607015186246</v>
      </c>
    </row>
    <row r="439" spans="1:14" ht="36" customHeight="1" outlineLevel="3" x14ac:dyDescent="0.2">
      <c r="A439" s="45">
        <v>16772</v>
      </c>
      <c r="B439" s="37" t="str">
        <f>HYPERLINK("http://sedek.ru/upload/iblock/548/klubnika_zemlyanika_sadovaya_sladkoezhka_f1.jpg","фото")</f>
        <v>фото</v>
      </c>
      <c r="C439" s="38"/>
      <c r="D439" s="38"/>
      <c r="E439" s="39"/>
      <c r="F439" s="39" t="s">
        <v>577</v>
      </c>
      <c r="G439" s="40">
        <v>15</v>
      </c>
      <c r="H439" s="39" t="s">
        <v>307</v>
      </c>
      <c r="I439" s="39" t="s">
        <v>102</v>
      </c>
      <c r="J439" s="41">
        <v>5000</v>
      </c>
      <c r="K439" s="42">
        <v>79</v>
      </c>
      <c r="L439" s="43"/>
      <c r="M439" s="43">
        <f>L439*K439</f>
        <v>0</v>
      </c>
      <c r="N439" s="35">
        <v>4690368024099</v>
      </c>
    </row>
    <row r="440" spans="1:14" ht="36" customHeight="1" outlineLevel="3" x14ac:dyDescent="0.2">
      <c r="A440" s="45">
        <v>14835</v>
      </c>
      <c r="B440" s="37" t="str">
        <f>HYPERLINK("http://sedek.ru/upload/iblock/838/klubnika_slastena_f1_zemlyanika_krupnoplodnaya_remontantaya.jpg","фото")</f>
        <v>фото</v>
      </c>
      <c r="C440" s="38"/>
      <c r="D440" s="38" t="s">
        <v>266</v>
      </c>
      <c r="E440" s="39"/>
      <c r="F440" s="39" t="s">
        <v>578</v>
      </c>
      <c r="G440" s="40">
        <v>15</v>
      </c>
      <c r="H440" s="39" t="s">
        <v>307</v>
      </c>
      <c r="I440" s="39" t="s">
        <v>102</v>
      </c>
      <c r="J440" s="41">
        <v>5000</v>
      </c>
      <c r="K440" s="42">
        <v>100.6</v>
      </c>
      <c r="L440" s="43"/>
      <c r="M440" s="43">
        <f>L440*K440</f>
        <v>0</v>
      </c>
      <c r="N440" s="35">
        <v>4690368017022</v>
      </c>
    </row>
    <row r="441" spans="1:14" ht="36" customHeight="1" outlineLevel="3" x14ac:dyDescent="0.2">
      <c r="A441" s="45">
        <v>16773</v>
      </c>
      <c r="B441" s="37" t="str">
        <f>HYPERLINK("http://sedek.ru/upload/iblock/66c/klubnika_zemlyanika_sadovaya_freska_f1.jpg","фото")</f>
        <v>фото</v>
      </c>
      <c r="C441" s="38"/>
      <c r="D441" s="38" t="s">
        <v>266</v>
      </c>
      <c r="E441" s="39"/>
      <c r="F441" s="39" t="s">
        <v>579</v>
      </c>
      <c r="G441" s="40">
        <v>15</v>
      </c>
      <c r="H441" s="39" t="s">
        <v>307</v>
      </c>
      <c r="I441" s="39" t="s">
        <v>102</v>
      </c>
      <c r="J441" s="41">
        <v>5000</v>
      </c>
      <c r="K441" s="42">
        <v>73.7</v>
      </c>
      <c r="L441" s="43"/>
      <c r="M441" s="43">
        <f>L441*K441</f>
        <v>0</v>
      </c>
      <c r="N441" s="35">
        <v>4690368015967</v>
      </c>
    </row>
    <row r="442" spans="1:14" ht="12" customHeight="1" outlineLevel="2" x14ac:dyDescent="0.2">
      <c r="A442" s="22"/>
      <c r="B442" s="23"/>
      <c r="C442" s="23"/>
      <c r="D442" s="23"/>
      <c r="E442" s="24"/>
      <c r="F442" s="24" t="s">
        <v>580</v>
      </c>
      <c r="G442" s="24"/>
      <c r="H442" s="24"/>
      <c r="I442" s="24"/>
      <c r="J442" s="24"/>
      <c r="K442" s="24"/>
      <c r="L442" s="24"/>
      <c r="M442" s="24"/>
      <c r="N442" s="25"/>
    </row>
    <row r="443" spans="1:14" ht="24" customHeight="1" outlineLevel="3" x14ac:dyDescent="0.2">
      <c r="A443" s="36" t="s">
        <v>581</v>
      </c>
      <c r="B443" s="37" t="str">
        <f>HYPERLINK("http://www.sedek.ru/upload/iblock/ef6/kabachok_azhur_voronoy_f1.jpg","фото")</f>
        <v>фото</v>
      </c>
      <c r="C443" s="38"/>
      <c r="D443" s="38"/>
      <c r="E443" s="39" t="s">
        <v>263</v>
      </c>
      <c r="F443" s="39" t="s">
        <v>582</v>
      </c>
      <c r="G443" s="40">
        <v>1</v>
      </c>
      <c r="H443" s="39" t="s">
        <v>101</v>
      </c>
      <c r="I443" s="39" t="s">
        <v>102</v>
      </c>
      <c r="J443" s="41">
        <v>2500</v>
      </c>
      <c r="K443" s="42">
        <v>36</v>
      </c>
      <c r="L443" s="43"/>
      <c r="M443" s="43">
        <f>L443*K443</f>
        <v>0</v>
      </c>
      <c r="N443" s="35">
        <v>4690368035125</v>
      </c>
    </row>
    <row r="444" spans="1:14" ht="24" customHeight="1" outlineLevel="3" x14ac:dyDescent="0.2">
      <c r="A444" s="45">
        <v>15097</v>
      </c>
      <c r="B444" s="37" t="str">
        <f>HYPERLINK("http://sedek.ru/upload/iblock/614/kabachok_astoriya.jpg","фото")</f>
        <v>фото</v>
      </c>
      <c r="C444" s="38"/>
      <c r="D444" s="38"/>
      <c r="E444" s="39"/>
      <c r="F444" s="39" t="s">
        <v>583</v>
      </c>
      <c r="G444" s="40">
        <v>2</v>
      </c>
      <c r="H444" s="39" t="s">
        <v>101</v>
      </c>
      <c r="I444" s="39" t="s">
        <v>102</v>
      </c>
      <c r="J444" s="41">
        <v>2000</v>
      </c>
      <c r="K444" s="42">
        <v>24.5</v>
      </c>
      <c r="L444" s="43"/>
      <c r="M444" s="43">
        <f>L444*K444</f>
        <v>0</v>
      </c>
      <c r="N444" s="35">
        <v>4607015186253</v>
      </c>
    </row>
    <row r="445" spans="1:14" ht="24" customHeight="1" outlineLevel="3" x14ac:dyDescent="0.2">
      <c r="A445" s="45">
        <v>31465</v>
      </c>
      <c r="B445" s="37" t="str">
        <f>HYPERLINK("http://sedek.ru/upload/iblock/f31/kabachok_afina_f1.jpg","фото")</f>
        <v>фото</v>
      </c>
      <c r="C445" s="38"/>
      <c r="D445" s="38"/>
      <c r="E445" s="39"/>
      <c r="F445" s="39" t="s">
        <v>584</v>
      </c>
      <c r="G445" s="40">
        <v>1</v>
      </c>
      <c r="H445" s="39" t="s">
        <v>101</v>
      </c>
      <c r="I445" s="39" t="s">
        <v>102</v>
      </c>
      <c r="J445" s="41">
        <v>2500</v>
      </c>
      <c r="K445" s="42">
        <v>34.200000000000003</v>
      </c>
      <c r="L445" s="43"/>
      <c r="M445" s="43">
        <f>L445*K445</f>
        <v>0</v>
      </c>
      <c r="N445" s="35">
        <v>4690368026147</v>
      </c>
    </row>
    <row r="446" spans="1:14" ht="24" customHeight="1" outlineLevel="3" x14ac:dyDescent="0.2">
      <c r="A446" s="45">
        <v>15673</v>
      </c>
      <c r="B446" s="37" t="str">
        <f>HYPERLINK("http://sedek.ru/upload/iblock/727/kabachok_aeronavt.jpg","фото")</f>
        <v>фото</v>
      </c>
      <c r="C446" s="38"/>
      <c r="D446" s="38"/>
      <c r="E446" s="39"/>
      <c r="F446" s="39" t="s">
        <v>585</v>
      </c>
      <c r="G446" s="40">
        <v>2</v>
      </c>
      <c r="H446" s="39" t="s">
        <v>101</v>
      </c>
      <c r="I446" s="39" t="s">
        <v>102</v>
      </c>
      <c r="J446" s="41">
        <v>2000</v>
      </c>
      <c r="K446" s="42">
        <v>15.6</v>
      </c>
      <c r="L446" s="43"/>
      <c r="M446" s="43">
        <f>L446*K446</f>
        <v>0</v>
      </c>
      <c r="N446" s="35">
        <v>4607149400614</v>
      </c>
    </row>
    <row r="447" spans="1:14" ht="24" customHeight="1" outlineLevel="3" x14ac:dyDescent="0.2">
      <c r="A447" s="45">
        <v>15673</v>
      </c>
      <c r="B447" s="37" t="str">
        <f>HYPERLINK("http://sedek.ru/upload/iblock/727/kabachok_aeronavt.jpg","фото")</f>
        <v>фото</v>
      </c>
      <c r="C447" s="38"/>
      <c r="D447" s="38"/>
      <c r="E447" s="39"/>
      <c r="F447" s="39" t="s">
        <v>586</v>
      </c>
      <c r="G447" s="40">
        <v>2</v>
      </c>
      <c r="H447" s="39" t="s">
        <v>101</v>
      </c>
      <c r="I447" s="39" t="s">
        <v>287</v>
      </c>
      <c r="J447" s="41">
        <v>2000</v>
      </c>
      <c r="K447" s="42">
        <v>7.4</v>
      </c>
      <c r="L447" s="43"/>
      <c r="M447" s="43">
        <f>L447*K447</f>
        <v>0</v>
      </c>
      <c r="N447" s="35">
        <v>4607149407170</v>
      </c>
    </row>
    <row r="448" spans="1:14" ht="24" customHeight="1" outlineLevel="3" x14ac:dyDescent="0.2">
      <c r="A448" s="45">
        <v>15703</v>
      </c>
      <c r="B448" s="37" t="str">
        <f>HYPERLINK("http://sedek.ru/upload/iblock/4c6/kabachok_belogor.jpg","фото")</f>
        <v>фото</v>
      </c>
      <c r="C448" s="38"/>
      <c r="D448" s="38"/>
      <c r="E448" s="39"/>
      <c r="F448" s="39" t="s">
        <v>587</v>
      </c>
      <c r="G448" s="40">
        <v>2</v>
      </c>
      <c r="H448" s="39" t="s">
        <v>101</v>
      </c>
      <c r="I448" s="39" t="s">
        <v>102</v>
      </c>
      <c r="J448" s="41">
        <v>2000</v>
      </c>
      <c r="K448" s="42">
        <v>21.6</v>
      </c>
      <c r="L448" s="43"/>
      <c r="M448" s="43">
        <f>L448*K448</f>
        <v>0</v>
      </c>
      <c r="N448" s="35">
        <v>4690368000253</v>
      </c>
    </row>
    <row r="449" spans="1:14" ht="24" customHeight="1" outlineLevel="3" x14ac:dyDescent="0.2">
      <c r="A449" s="45">
        <v>14388</v>
      </c>
      <c r="B449" s="37" t="str">
        <f>HYPERLINK("http://www.sedek.ru/upload/iblock/75f/kabachki_beloplodnye.jpg","фото")</f>
        <v>фото</v>
      </c>
      <c r="C449" s="38"/>
      <c r="D449" s="38"/>
      <c r="E449" s="39"/>
      <c r="F449" s="39" t="s">
        <v>588</v>
      </c>
      <c r="G449" s="40">
        <v>2</v>
      </c>
      <c r="H449" s="39" t="s">
        <v>101</v>
      </c>
      <c r="I449" s="39" t="s">
        <v>102</v>
      </c>
      <c r="J449" s="41">
        <v>2000</v>
      </c>
      <c r="K449" s="42">
        <v>15.6</v>
      </c>
      <c r="L449" s="43"/>
      <c r="M449" s="43">
        <f>L449*K449</f>
        <v>0</v>
      </c>
      <c r="N449" s="35">
        <v>4607149400621</v>
      </c>
    </row>
    <row r="450" spans="1:14" ht="24" customHeight="1" outlineLevel="3" x14ac:dyDescent="0.2">
      <c r="A450" s="45">
        <v>14388</v>
      </c>
      <c r="B450" s="37" t="str">
        <f>HYPERLINK("http://www.sedek.ru/upload/iblock/75f/kabachki_beloplodnye.jpg","фото")</f>
        <v>фото</v>
      </c>
      <c r="C450" s="38"/>
      <c r="D450" s="38"/>
      <c r="E450" s="39"/>
      <c r="F450" s="39" t="s">
        <v>589</v>
      </c>
      <c r="G450" s="40">
        <v>2</v>
      </c>
      <c r="H450" s="39" t="s">
        <v>101</v>
      </c>
      <c r="I450" s="39" t="s">
        <v>287</v>
      </c>
      <c r="J450" s="41">
        <v>2000</v>
      </c>
      <c r="K450" s="42">
        <v>6.5</v>
      </c>
      <c r="L450" s="43"/>
      <c r="M450" s="43">
        <f>L450*K450</f>
        <v>0</v>
      </c>
      <c r="N450" s="35">
        <v>4607149402175</v>
      </c>
    </row>
    <row r="451" spans="1:14" ht="24" customHeight="1" outlineLevel="3" x14ac:dyDescent="0.2">
      <c r="A451" s="45">
        <v>14876</v>
      </c>
      <c r="B451" s="37" t="str">
        <f>HYPERLINK("http://sedek.ru/upload/iblock/432/kabachok_belyy.jpg","фото")</f>
        <v>фото</v>
      </c>
      <c r="C451" s="38"/>
      <c r="D451" s="38"/>
      <c r="E451" s="39"/>
      <c r="F451" s="39" t="s">
        <v>590</v>
      </c>
      <c r="G451" s="40">
        <v>2</v>
      </c>
      <c r="H451" s="39" t="s">
        <v>101</v>
      </c>
      <c r="I451" s="39" t="s">
        <v>102</v>
      </c>
      <c r="J451" s="41">
        <v>2000</v>
      </c>
      <c r="K451" s="42">
        <v>19.3</v>
      </c>
      <c r="L451" s="43"/>
      <c r="M451" s="43">
        <f>L451*K451</f>
        <v>0</v>
      </c>
      <c r="N451" s="35">
        <v>4607015186260</v>
      </c>
    </row>
    <row r="452" spans="1:14" ht="24" customHeight="1" outlineLevel="3" x14ac:dyDescent="0.2">
      <c r="A452" s="45">
        <v>14242</v>
      </c>
      <c r="B452" s="37" t="str">
        <f>HYPERLINK("http://sedek.ru/upload/iblock/f6a/kabachok_belyy_lebed.jpg","фото")</f>
        <v>фото</v>
      </c>
      <c r="C452" s="38"/>
      <c r="D452" s="38"/>
      <c r="E452" s="39"/>
      <c r="F452" s="39" t="s">
        <v>591</v>
      </c>
      <c r="G452" s="40">
        <v>2</v>
      </c>
      <c r="H452" s="39" t="s">
        <v>101</v>
      </c>
      <c r="I452" s="39" t="s">
        <v>102</v>
      </c>
      <c r="J452" s="41">
        <v>2000</v>
      </c>
      <c r="K452" s="42">
        <v>20.5</v>
      </c>
      <c r="L452" s="43"/>
      <c r="M452" s="43">
        <f>L452*K452</f>
        <v>0</v>
      </c>
      <c r="N452" s="35">
        <v>4607015186277</v>
      </c>
    </row>
    <row r="453" spans="1:14" ht="24" customHeight="1" outlineLevel="3" x14ac:dyDescent="0.2">
      <c r="A453" s="45">
        <v>14242</v>
      </c>
      <c r="B453" s="37" t="str">
        <f>HYPERLINK("http://sedek.ru/upload/iblock/f6a/kabachok_belyy_lebed.jpg","фото")</f>
        <v>фото</v>
      </c>
      <c r="C453" s="38"/>
      <c r="D453" s="38"/>
      <c r="E453" s="39"/>
      <c r="F453" s="39" t="s">
        <v>592</v>
      </c>
      <c r="G453" s="40">
        <v>2</v>
      </c>
      <c r="H453" s="39" t="s">
        <v>101</v>
      </c>
      <c r="I453" s="39" t="s">
        <v>287</v>
      </c>
      <c r="J453" s="41">
        <v>2000</v>
      </c>
      <c r="K453" s="42">
        <v>10.1</v>
      </c>
      <c r="L453" s="43"/>
      <c r="M453" s="43">
        <f>L453*K453</f>
        <v>0</v>
      </c>
      <c r="N453" s="35">
        <v>4607149402168</v>
      </c>
    </row>
    <row r="454" spans="1:14" ht="24" customHeight="1" outlineLevel="3" x14ac:dyDescent="0.2">
      <c r="A454" s="45">
        <v>13842</v>
      </c>
      <c r="B454" s="37" t="str">
        <f>HYPERLINK("http://sedek.ru/upload/iblock/0e4/kabachok_blek_tsukkini.jpg","фото")</f>
        <v>фото</v>
      </c>
      <c r="C454" s="38"/>
      <c r="D454" s="38"/>
      <c r="E454" s="39"/>
      <c r="F454" s="39" t="s">
        <v>593</v>
      </c>
      <c r="G454" s="40">
        <v>2</v>
      </c>
      <c r="H454" s="39" t="s">
        <v>101</v>
      </c>
      <c r="I454" s="39" t="s">
        <v>102</v>
      </c>
      <c r="J454" s="41">
        <v>2000</v>
      </c>
      <c r="K454" s="42">
        <v>24.5</v>
      </c>
      <c r="L454" s="43"/>
      <c r="M454" s="43">
        <f>L454*K454</f>
        <v>0</v>
      </c>
      <c r="N454" s="35">
        <v>4607015186284</v>
      </c>
    </row>
    <row r="455" spans="1:14" ht="24" customHeight="1" outlineLevel="3" x14ac:dyDescent="0.2">
      <c r="A455" s="45">
        <v>13842</v>
      </c>
      <c r="B455" s="37" t="str">
        <f>HYPERLINK("http://sedek.ru/upload/iblock/0e4/kabachok_blek_tsukkini.jpg","фото")</f>
        <v>фото</v>
      </c>
      <c r="C455" s="38"/>
      <c r="D455" s="38"/>
      <c r="E455" s="39"/>
      <c r="F455" s="39" t="s">
        <v>594</v>
      </c>
      <c r="G455" s="40">
        <v>2</v>
      </c>
      <c r="H455" s="39" t="s">
        <v>101</v>
      </c>
      <c r="I455" s="39" t="s">
        <v>287</v>
      </c>
      <c r="J455" s="41">
        <v>2000</v>
      </c>
      <c r="K455" s="42">
        <v>12.4</v>
      </c>
      <c r="L455" s="43"/>
      <c r="M455" s="43">
        <f>L455*K455</f>
        <v>0</v>
      </c>
      <c r="N455" s="35">
        <v>4607149402182</v>
      </c>
    </row>
    <row r="456" spans="1:14" ht="24" customHeight="1" outlineLevel="3" x14ac:dyDescent="0.2">
      <c r="A456" s="45">
        <v>16211</v>
      </c>
      <c r="B456" s="37" t="str">
        <f>HYPERLINK("http://sedek.ru/upload/iblock/c05/kabachok_botsman_f1.jpg","фото")</f>
        <v>фото</v>
      </c>
      <c r="C456" s="38"/>
      <c r="D456" s="38"/>
      <c r="E456" s="39"/>
      <c r="F456" s="39" t="s">
        <v>595</v>
      </c>
      <c r="G456" s="40">
        <v>2</v>
      </c>
      <c r="H456" s="39" t="s">
        <v>101</v>
      </c>
      <c r="I456" s="39" t="s">
        <v>102</v>
      </c>
      <c r="J456" s="41">
        <v>2000</v>
      </c>
      <c r="K456" s="42">
        <v>39.200000000000003</v>
      </c>
      <c r="L456" s="43"/>
      <c r="M456" s="43">
        <f>L456*K456</f>
        <v>0</v>
      </c>
      <c r="N456" s="35">
        <v>4607116267196</v>
      </c>
    </row>
    <row r="457" spans="1:14" ht="24" customHeight="1" outlineLevel="3" x14ac:dyDescent="0.2">
      <c r="A457" s="45">
        <v>14611</v>
      </c>
      <c r="B457" s="37" t="str">
        <f>HYPERLINK("http://sedek.ru/upload/iblock/ad5/kabachok_burzhuin.jpg","фото")</f>
        <v>фото</v>
      </c>
      <c r="C457" s="38"/>
      <c r="D457" s="38"/>
      <c r="E457" s="39"/>
      <c r="F457" s="39" t="s">
        <v>596</v>
      </c>
      <c r="G457" s="40">
        <v>2</v>
      </c>
      <c r="H457" s="39" t="s">
        <v>101</v>
      </c>
      <c r="I457" s="39" t="s">
        <v>102</v>
      </c>
      <c r="J457" s="41">
        <v>2000</v>
      </c>
      <c r="K457" s="42">
        <v>39.200000000000003</v>
      </c>
      <c r="L457" s="43"/>
      <c r="M457" s="43">
        <f>L457*K457</f>
        <v>0</v>
      </c>
      <c r="N457" s="35">
        <v>4607149404315</v>
      </c>
    </row>
    <row r="458" spans="1:14" ht="24" customHeight="1" outlineLevel="3" x14ac:dyDescent="0.2">
      <c r="A458" s="45">
        <v>15608</v>
      </c>
      <c r="B458" s="37" t="str">
        <f>HYPERLINK("http://sedek.ru/upload/iblock/682/kabachok_vanyusha_f1.jpg","фото")</f>
        <v>фото</v>
      </c>
      <c r="C458" s="38"/>
      <c r="D458" s="38"/>
      <c r="E458" s="39"/>
      <c r="F458" s="39" t="s">
        <v>597</v>
      </c>
      <c r="G458" s="40">
        <v>2</v>
      </c>
      <c r="H458" s="39" t="s">
        <v>101</v>
      </c>
      <c r="I458" s="39" t="s">
        <v>102</v>
      </c>
      <c r="J458" s="41">
        <v>2000</v>
      </c>
      <c r="K458" s="42">
        <v>41.1</v>
      </c>
      <c r="L458" s="43"/>
      <c r="M458" s="43">
        <f>L458*K458</f>
        <v>0</v>
      </c>
      <c r="N458" s="35">
        <v>4607149406234</v>
      </c>
    </row>
    <row r="459" spans="1:14" ht="24" customHeight="1" outlineLevel="3" x14ac:dyDescent="0.2">
      <c r="A459" s="45">
        <v>14100</v>
      </c>
      <c r="B459" s="37" t="str">
        <f>HYPERLINK("http://sedek.ru/upload/iblock/a94/kabachok_vesyelye_rebyata.jpg","фото")</f>
        <v>фото</v>
      </c>
      <c r="C459" s="38"/>
      <c r="D459" s="38"/>
      <c r="E459" s="39"/>
      <c r="F459" s="39" t="s">
        <v>598</v>
      </c>
      <c r="G459" s="40">
        <v>2</v>
      </c>
      <c r="H459" s="39" t="s">
        <v>101</v>
      </c>
      <c r="I459" s="39" t="s">
        <v>102</v>
      </c>
      <c r="J459" s="41">
        <v>2000</v>
      </c>
      <c r="K459" s="42">
        <v>20.100000000000001</v>
      </c>
      <c r="L459" s="43"/>
      <c r="M459" s="43">
        <f>L459*K459</f>
        <v>0</v>
      </c>
      <c r="N459" s="35">
        <v>4690368005715</v>
      </c>
    </row>
    <row r="460" spans="1:14" ht="36" customHeight="1" outlineLevel="3" x14ac:dyDescent="0.2">
      <c r="A460" s="45">
        <v>16038</v>
      </c>
      <c r="B460" s="37" t="str">
        <f>HYPERLINK("http://www.sedek.ru/upload/iblock/ce8/kabachok_golda_f1.jpg","фото")</f>
        <v>фото</v>
      </c>
      <c r="C460" s="38"/>
      <c r="D460" s="38"/>
      <c r="E460" s="39"/>
      <c r="F460" s="39" t="s">
        <v>599</v>
      </c>
      <c r="G460" s="40">
        <v>1</v>
      </c>
      <c r="H460" s="39" t="s">
        <v>101</v>
      </c>
      <c r="I460" s="39" t="s">
        <v>102</v>
      </c>
      <c r="J460" s="41">
        <v>2500</v>
      </c>
      <c r="K460" s="42">
        <v>68.8</v>
      </c>
      <c r="L460" s="43"/>
      <c r="M460" s="43">
        <f>L460*K460</f>
        <v>0</v>
      </c>
      <c r="N460" s="35">
        <v>4607015186291</v>
      </c>
    </row>
    <row r="461" spans="1:14" ht="24" customHeight="1" outlineLevel="3" x14ac:dyDescent="0.2">
      <c r="A461" s="45">
        <v>15366</v>
      </c>
      <c r="B461" s="37" t="str">
        <f>HYPERLINK("http://sedek.ru/upload/iblock/029/kabachok_gornyy.jpg","фото")</f>
        <v>фото</v>
      </c>
      <c r="C461" s="38"/>
      <c r="D461" s="38"/>
      <c r="E461" s="39"/>
      <c r="F461" s="39" t="s">
        <v>600</v>
      </c>
      <c r="G461" s="40">
        <v>2</v>
      </c>
      <c r="H461" s="39" t="s">
        <v>101</v>
      </c>
      <c r="I461" s="39" t="s">
        <v>102</v>
      </c>
      <c r="J461" s="41">
        <v>2000</v>
      </c>
      <c r="K461" s="42">
        <v>20.5</v>
      </c>
      <c r="L461" s="43"/>
      <c r="M461" s="43">
        <f>L461*K461</f>
        <v>0</v>
      </c>
      <c r="N461" s="35">
        <v>4690368000321</v>
      </c>
    </row>
    <row r="462" spans="1:14" ht="24" customHeight="1" outlineLevel="3" x14ac:dyDescent="0.2">
      <c r="A462" s="45">
        <v>16209</v>
      </c>
      <c r="B462" s="37" t="str">
        <f>HYPERLINK("http://www.sedek.ru/upload/iblock/326/kabachki_gribovskie_37.jpg","фото")</f>
        <v>фото</v>
      </c>
      <c r="C462" s="38"/>
      <c r="D462" s="38"/>
      <c r="E462" s="39"/>
      <c r="F462" s="39" t="s">
        <v>601</v>
      </c>
      <c r="G462" s="40">
        <v>2</v>
      </c>
      <c r="H462" s="39" t="s">
        <v>101</v>
      </c>
      <c r="I462" s="39" t="s">
        <v>102</v>
      </c>
      <c r="J462" s="41">
        <v>2000</v>
      </c>
      <c r="K462" s="42">
        <v>15.6</v>
      </c>
      <c r="L462" s="43"/>
      <c r="M462" s="43">
        <f>L462*K462</f>
        <v>0</v>
      </c>
      <c r="N462" s="35">
        <v>4607015186307</v>
      </c>
    </row>
    <row r="463" spans="1:14" ht="24" customHeight="1" outlineLevel="3" x14ac:dyDescent="0.2">
      <c r="A463" s="45">
        <v>16209</v>
      </c>
      <c r="B463" s="37" t="str">
        <f>HYPERLINK("http://www.sedek.ru/upload/iblock/326/kabachki_gribovskie_37.jpg","фото")</f>
        <v>фото</v>
      </c>
      <c r="C463" s="38"/>
      <c r="D463" s="38"/>
      <c r="E463" s="39"/>
      <c r="F463" s="39" t="s">
        <v>602</v>
      </c>
      <c r="G463" s="40">
        <v>2</v>
      </c>
      <c r="H463" s="39" t="s">
        <v>101</v>
      </c>
      <c r="I463" s="39" t="s">
        <v>287</v>
      </c>
      <c r="J463" s="41">
        <v>2000</v>
      </c>
      <c r="K463" s="42">
        <v>7.1</v>
      </c>
      <c r="L463" s="43"/>
      <c r="M463" s="43">
        <f>L463*K463</f>
        <v>0</v>
      </c>
      <c r="N463" s="35">
        <v>4607149408252</v>
      </c>
    </row>
    <row r="464" spans="1:14" ht="24" customHeight="1" outlineLevel="3" x14ac:dyDescent="0.2">
      <c r="A464" s="45">
        <v>13725</v>
      </c>
      <c r="B464" s="37" t="str">
        <f>HYPERLINK("http://sedek.ru/upload/iblock/b70/kabachok_grey_tsukkini.jpg","фото")</f>
        <v>фото</v>
      </c>
      <c r="C464" s="38"/>
      <c r="D464" s="38"/>
      <c r="E464" s="39"/>
      <c r="F464" s="39" t="s">
        <v>603</v>
      </c>
      <c r="G464" s="40">
        <v>2</v>
      </c>
      <c r="H464" s="39" t="s">
        <v>101</v>
      </c>
      <c r="I464" s="39" t="s">
        <v>102</v>
      </c>
      <c r="J464" s="41">
        <v>2000</v>
      </c>
      <c r="K464" s="42">
        <v>24.1</v>
      </c>
      <c r="L464" s="43"/>
      <c r="M464" s="43">
        <f>L464*K464</f>
        <v>0</v>
      </c>
      <c r="N464" s="35">
        <v>4607015186314</v>
      </c>
    </row>
    <row r="465" spans="1:14" ht="24" customHeight="1" outlineLevel="3" x14ac:dyDescent="0.2">
      <c r="A465" s="45">
        <v>13725</v>
      </c>
      <c r="B465" s="37" t="str">
        <f>HYPERLINK("http://sedek.ru/upload/iblock/b70/kabachok_grey_tsukkini.jpg","фото")</f>
        <v>фото</v>
      </c>
      <c r="C465" s="38"/>
      <c r="D465" s="38"/>
      <c r="E465" s="39"/>
      <c r="F465" s="39" t="s">
        <v>604</v>
      </c>
      <c r="G465" s="40">
        <v>2</v>
      </c>
      <c r="H465" s="39" t="s">
        <v>101</v>
      </c>
      <c r="I465" s="39" t="s">
        <v>287</v>
      </c>
      <c r="J465" s="41">
        <v>2000</v>
      </c>
      <c r="K465" s="42">
        <v>10.5</v>
      </c>
      <c r="L465" s="43"/>
      <c r="M465" s="43">
        <f>L465*K465</f>
        <v>0</v>
      </c>
      <c r="N465" s="35">
        <v>4607149402212</v>
      </c>
    </row>
    <row r="466" spans="1:14" ht="24" customHeight="1" outlineLevel="3" x14ac:dyDescent="0.2">
      <c r="A466" s="45">
        <v>13503</v>
      </c>
      <c r="B466" s="37" t="str">
        <f>HYPERLINK("http://www.sedek.ru/upload/iblock/f5b/kabachok_zheltoplodnyy_tsukkini.jpg","фото")</f>
        <v>фото</v>
      </c>
      <c r="C466" s="38"/>
      <c r="D466" s="38"/>
      <c r="E466" s="39"/>
      <c r="F466" s="39" t="s">
        <v>605</v>
      </c>
      <c r="G466" s="40">
        <v>2</v>
      </c>
      <c r="H466" s="39" t="s">
        <v>101</v>
      </c>
      <c r="I466" s="39" t="s">
        <v>102</v>
      </c>
      <c r="J466" s="41">
        <v>2000</v>
      </c>
      <c r="K466" s="42">
        <v>16.8</v>
      </c>
      <c r="L466" s="43"/>
      <c r="M466" s="43">
        <f>L466*K466</f>
        <v>0</v>
      </c>
      <c r="N466" s="35">
        <v>4607149400638</v>
      </c>
    </row>
    <row r="467" spans="1:14" ht="24" customHeight="1" outlineLevel="3" x14ac:dyDescent="0.2">
      <c r="A467" s="45">
        <v>13503</v>
      </c>
      <c r="B467" s="37" t="str">
        <f>HYPERLINK("http://www.sedek.ru/upload/iblock/f5b/kabachok_zheltoplodnyy_tsukkini.jpg","фото")</f>
        <v>фото</v>
      </c>
      <c r="C467" s="38"/>
      <c r="D467" s="38"/>
      <c r="E467" s="39"/>
      <c r="F467" s="39" t="s">
        <v>606</v>
      </c>
      <c r="G467" s="40">
        <v>2</v>
      </c>
      <c r="H467" s="39" t="s">
        <v>101</v>
      </c>
      <c r="I467" s="39" t="s">
        <v>287</v>
      </c>
      <c r="J467" s="41">
        <v>2000</v>
      </c>
      <c r="K467" s="42">
        <v>7.8</v>
      </c>
      <c r="L467" s="43"/>
      <c r="M467" s="43">
        <f>L467*K467</f>
        <v>0</v>
      </c>
      <c r="N467" s="35">
        <v>4607149402199</v>
      </c>
    </row>
    <row r="468" spans="1:14" ht="24" customHeight="1" outlineLevel="3" x14ac:dyDescent="0.2">
      <c r="A468" s="45">
        <v>16083</v>
      </c>
      <c r="B468" s="37" t="str">
        <f>HYPERLINK("http://sedek.ru/upload/iblock/8ce/kabachok_zheltyy_banan_f1.jpg","фото")</f>
        <v>фото</v>
      </c>
      <c r="C468" s="38"/>
      <c r="D468" s="38"/>
      <c r="E468" s="39"/>
      <c r="F468" s="39" t="s">
        <v>607</v>
      </c>
      <c r="G468" s="40">
        <v>1</v>
      </c>
      <c r="H468" s="39" t="s">
        <v>101</v>
      </c>
      <c r="I468" s="39" t="s">
        <v>102</v>
      </c>
      <c r="J468" s="41">
        <v>2500</v>
      </c>
      <c r="K468" s="42">
        <v>68.8</v>
      </c>
      <c r="L468" s="43"/>
      <c r="M468" s="43">
        <f>L468*K468</f>
        <v>0</v>
      </c>
      <c r="N468" s="35">
        <v>4690368007740</v>
      </c>
    </row>
    <row r="469" spans="1:14" ht="24" customHeight="1" outlineLevel="3" x14ac:dyDescent="0.2">
      <c r="A469" s="36" t="s">
        <v>608</v>
      </c>
      <c r="B469" s="37" t="str">
        <f>HYPERLINK("http://www.sedek.ru/upload/iblock/1aa/kabachok_kruknek_zhiraf_f1.jpg","Фото")</f>
        <v>Фото</v>
      </c>
      <c r="C469" s="38"/>
      <c r="D469" s="38"/>
      <c r="E469" s="39"/>
      <c r="F469" s="39" t="s">
        <v>609</v>
      </c>
      <c r="G469" s="40">
        <v>1</v>
      </c>
      <c r="H469" s="39" t="s">
        <v>101</v>
      </c>
      <c r="I469" s="39" t="s">
        <v>102</v>
      </c>
      <c r="J469" s="41">
        <v>2000</v>
      </c>
      <c r="K469" s="42">
        <v>28</v>
      </c>
      <c r="L469" s="43"/>
      <c r="M469" s="43">
        <f>L469*K469</f>
        <v>0</v>
      </c>
      <c r="N469" s="35">
        <v>4690368030830</v>
      </c>
    </row>
    <row r="470" spans="1:14" ht="24" customHeight="1" outlineLevel="3" x14ac:dyDescent="0.2">
      <c r="A470" s="45">
        <v>29296</v>
      </c>
      <c r="B470" s="37" t="str">
        <f>HYPERLINK("http://www.sedek.ru/upload/iblock/56a/kabachok_tsukkini_zastolnyy.jpg","Фото")</f>
        <v>Фото</v>
      </c>
      <c r="C470" s="38"/>
      <c r="D470" s="38"/>
      <c r="E470" s="39"/>
      <c r="F470" s="39" t="s">
        <v>610</v>
      </c>
      <c r="G470" s="40">
        <v>2</v>
      </c>
      <c r="H470" s="39" t="s">
        <v>101</v>
      </c>
      <c r="I470" s="39" t="s">
        <v>102</v>
      </c>
      <c r="J470" s="41">
        <v>2000</v>
      </c>
      <c r="K470" s="42">
        <v>18.8</v>
      </c>
      <c r="L470" s="43"/>
      <c r="M470" s="43">
        <f>L470*K470</f>
        <v>0</v>
      </c>
      <c r="N470" s="35">
        <v>4690368024228</v>
      </c>
    </row>
    <row r="471" spans="1:14" ht="24" customHeight="1" outlineLevel="3" x14ac:dyDescent="0.2">
      <c r="A471" s="45">
        <v>16256</v>
      </c>
      <c r="B471" s="37" t="str">
        <f>HYPERLINK("http://sedek.ru/upload/iblock/fed/kabachok_zastolnyy_svetlyy.jpg","фото")</f>
        <v>фото</v>
      </c>
      <c r="C471" s="38"/>
      <c r="D471" s="38"/>
      <c r="E471" s="39"/>
      <c r="F471" s="39" t="s">
        <v>611</v>
      </c>
      <c r="G471" s="40">
        <v>2</v>
      </c>
      <c r="H471" s="39" t="s">
        <v>101</v>
      </c>
      <c r="I471" s="39" t="s">
        <v>102</v>
      </c>
      <c r="J471" s="41">
        <v>2000</v>
      </c>
      <c r="K471" s="42">
        <v>20.100000000000001</v>
      </c>
      <c r="L471" s="43"/>
      <c r="M471" s="43">
        <f>L471*K471</f>
        <v>0</v>
      </c>
      <c r="N471" s="35">
        <v>4607149404292</v>
      </c>
    </row>
    <row r="472" spans="1:14" ht="24" customHeight="1" outlineLevel="3" x14ac:dyDescent="0.2">
      <c r="A472" s="45">
        <v>16256</v>
      </c>
      <c r="B472" s="37" t="str">
        <f>HYPERLINK("http://sedek.ru/upload/iblock/fed/kabachok_zastolnyy_svetlyy.jpg","фото")</f>
        <v>фото</v>
      </c>
      <c r="C472" s="38"/>
      <c r="D472" s="38"/>
      <c r="E472" s="39"/>
      <c r="F472" s="39" t="s">
        <v>612</v>
      </c>
      <c r="G472" s="40">
        <v>2</v>
      </c>
      <c r="H472" s="39" t="s">
        <v>101</v>
      </c>
      <c r="I472" s="39" t="s">
        <v>287</v>
      </c>
      <c r="J472" s="41">
        <v>2000</v>
      </c>
      <c r="K472" s="42">
        <v>10.199999999999999</v>
      </c>
      <c r="L472" s="43"/>
      <c r="M472" s="43">
        <f>L472*K472</f>
        <v>0</v>
      </c>
      <c r="N472" s="35">
        <v>4607149407071</v>
      </c>
    </row>
    <row r="473" spans="1:14" ht="24" customHeight="1" outlineLevel="3" x14ac:dyDescent="0.2">
      <c r="A473" s="45">
        <v>15879</v>
      </c>
      <c r="B473" s="37" t="str">
        <f>HYPERLINK("http://sedek.ru/upload/iblock/d5f/kabachok_zebra.jpg","фото")</f>
        <v>фото</v>
      </c>
      <c r="C473" s="38"/>
      <c r="D473" s="38"/>
      <c r="E473" s="39"/>
      <c r="F473" s="39" t="s">
        <v>613</v>
      </c>
      <c r="G473" s="40">
        <v>2</v>
      </c>
      <c r="H473" s="39" t="s">
        <v>101</v>
      </c>
      <c r="I473" s="39" t="s">
        <v>102</v>
      </c>
      <c r="J473" s="41">
        <v>2000</v>
      </c>
      <c r="K473" s="42">
        <v>15.6</v>
      </c>
      <c r="L473" s="43"/>
      <c r="M473" s="43">
        <f>L473*K473</f>
        <v>0</v>
      </c>
      <c r="N473" s="35">
        <v>4690368000260</v>
      </c>
    </row>
    <row r="474" spans="1:14" ht="24" customHeight="1" outlineLevel="3" x14ac:dyDescent="0.2">
      <c r="A474" s="45">
        <v>14245</v>
      </c>
      <c r="B474" s="37" t="str">
        <f>HYPERLINK("http://sedek.ru/upload/iblock/73d/kabachok_zolotinka.jpg","фото")</f>
        <v>фото</v>
      </c>
      <c r="C474" s="38"/>
      <c r="D474" s="38"/>
      <c r="E474" s="39"/>
      <c r="F474" s="39" t="s">
        <v>614</v>
      </c>
      <c r="G474" s="40">
        <v>2</v>
      </c>
      <c r="H474" s="39" t="s">
        <v>101</v>
      </c>
      <c r="I474" s="39" t="s">
        <v>102</v>
      </c>
      <c r="J474" s="41">
        <v>2000</v>
      </c>
      <c r="K474" s="42">
        <v>21.6</v>
      </c>
      <c r="L474" s="43"/>
      <c r="M474" s="43">
        <f>L474*K474</f>
        <v>0</v>
      </c>
      <c r="N474" s="35">
        <v>4690368005722</v>
      </c>
    </row>
    <row r="475" spans="1:14" ht="24" customHeight="1" outlineLevel="3" x14ac:dyDescent="0.2">
      <c r="A475" s="45">
        <v>15128</v>
      </c>
      <c r="B475" s="37" t="str">
        <f>HYPERLINK("http://sedek.ru/upload/iblock/4f1/kabachok_karina.jpg","фото")</f>
        <v>фото</v>
      </c>
      <c r="C475" s="38"/>
      <c r="D475" s="38"/>
      <c r="E475" s="39"/>
      <c r="F475" s="39" t="s">
        <v>615</v>
      </c>
      <c r="G475" s="40">
        <v>2</v>
      </c>
      <c r="H475" s="39" t="s">
        <v>101</v>
      </c>
      <c r="I475" s="39" t="s">
        <v>102</v>
      </c>
      <c r="J475" s="41">
        <v>2000</v>
      </c>
      <c r="K475" s="42">
        <v>20</v>
      </c>
      <c r="L475" s="43"/>
      <c r="M475" s="43">
        <f>L475*K475</f>
        <v>0</v>
      </c>
      <c r="N475" s="35">
        <v>4607015186321</v>
      </c>
    </row>
    <row r="476" spans="1:14" ht="24" customHeight="1" outlineLevel="3" x14ac:dyDescent="0.2">
      <c r="A476" s="45">
        <v>14497</v>
      </c>
      <c r="B476" s="37" t="str">
        <f>HYPERLINK("http://sedek.ru/upload/iblock/d87/kabachok_kaserta.jpg","фото")</f>
        <v>фото</v>
      </c>
      <c r="C476" s="38"/>
      <c r="D476" s="38"/>
      <c r="E476" s="39"/>
      <c r="F476" s="39" t="s">
        <v>616</v>
      </c>
      <c r="G476" s="40">
        <v>2</v>
      </c>
      <c r="H476" s="39" t="s">
        <v>101</v>
      </c>
      <c r="I476" s="39" t="s">
        <v>102</v>
      </c>
      <c r="J476" s="41">
        <v>2000</v>
      </c>
      <c r="K476" s="42">
        <v>20</v>
      </c>
      <c r="L476" s="43"/>
      <c r="M476" s="43">
        <f>L476*K476</f>
        <v>0</v>
      </c>
      <c r="N476" s="35">
        <v>4607015186338</v>
      </c>
    </row>
    <row r="477" spans="1:14" ht="24" customHeight="1" outlineLevel="3" x14ac:dyDescent="0.2">
      <c r="A477" s="45">
        <v>14497</v>
      </c>
      <c r="B477" s="37" t="str">
        <f>HYPERLINK("http://sedek.ru/upload/iblock/d87/kabachok_kaserta.jpg","фото")</f>
        <v>фото</v>
      </c>
      <c r="C477" s="38"/>
      <c r="D477" s="38"/>
      <c r="E477" s="39"/>
      <c r="F477" s="39" t="s">
        <v>617</v>
      </c>
      <c r="G477" s="40">
        <v>2</v>
      </c>
      <c r="H477" s="39" t="s">
        <v>101</v>
      </c>
      <c r="I477" s="39" t="s">
        <v>287</v>
      </c>
      <c r="J477" s="41">
        <v>2000</v>
      </c>
      <c r="K477" s="42">
        <v>10.6</v>
      </c>
      <c r="L477" s="43"/>
      <c r="M477" s="43">
        <f>L477*K477</f>
        <v>0</v>
      </c>
      <c r="N477" s="35">
        <v>4607149407088</v>
      </c>
    </row>
    <row r="478" spans="1:14" ht="24" customHeight="1" outlineLevel="3" x14ac:dyDescent="0.2">
      <c r="A478" s="45">
        <v>14105</v>
      </c>
      <c r="B478" s="37" t="str">
        <f>HYPERLINK("http://sedek.ru/upload/iblock/af7/kabachok_konservnyy_belyy.jpg","фото")</f>
        <v>фото</v>
      </c>
      <c r="C478" s="38"/>
      <c r="D478" s="38"/>
      <c r="E478" s="39"/>
      <c r="F478" s="39" t="s">
        <v>618</v>
      </c>
      <c r="G478" s="40">
        <v>2</v>
      </c>
      <c r="H478" s="39" t="s">
        <v>101</v>
      </c>
      <c r="I478" s="39" t="s">
        <v>102</v>
      </c>
      <c r="J478" s="41">
        <v>2000</v>
      </c>
      <c r="K478" s="42">
        <v>20</v>
      </c>
      <c r="L478" s="43"/>
      <c r="M478" s="43">
        <f>L478*K478</f>
        <v>0</v>
      </c>
      <c r="N478" s="35">
        <v>4607149404308</v>
      </c>
    </row>
    <row r="479" spans="1:14" ht="24" customHeight="1" outlineLevel="3" x14ac:dyDescent="0.2">
      <c r="A479" s="45">
        <v>14105</v>
      </c>
      <c r="B479" s="37" t="str">
        <f>HYPERLINK("http://sedek.ru/upload/iblock/af7/kabachok_konservnyy_belyy.jpg","фото")</f>
        <v>фото</v>
      </c>
      <c r="C479" s="38"/>
      <c r="D479" s="38"/>
      <c r="E479" s="39"/>
      <c r="F479" s="39" t="s">
        <v>619</v>
      </c>
      <c r="G479" s="40">
        <v>2</v>
      </c>
      <c r="H479" s="39" t="s">
        <v>101</v>
      </c>
      <c r="I479" s="39" t="s">
        <v>287</v>
      </c>
      <c r="J479" s="41">
        <v>2000</v>
      </c>
      <c r="K479" s="42">
        <v>10.6</v>
      </c>
      <c r="L479" s="43"/>
      <c r="M479" s="43">
        <f>L479*K479</f>
        <v>0</v>
      </c>
      <c r="N479" s="35">
        <v>4607149408269</v>
      </c>
    </row>
    <row r="480" spans="1:14" ht="24" customHeight="1" outlineLevel="3" x14ac:dyDescent="0.2">
      <c r="A480" s="45">
        <v>15632</v>
      </c>
      <c r="B480" s="37" t="str">
        <f>HYPERLINK("http://sedek.ru/upload/iblock/151/kabachok_kulinarnyy.jpg","фото")</f>
        <v>фото</v>
      </c>
      <c r="C480" s="38"/>
      <c r="D480" s="38" t="s">
        <v>266</v>
      </c>
      <c r="E480" s="39"/>
      <c r="F480" s="39" t="s">
        <v>620</v>
      </c>
      <c r="G480" s="40">
        <v>1</v>
      </c>
      <c r="H480" s="39" t="s">
        <v>101</v>
      </c>
      <c r="I480" s="39" t="s">
        <v>102</v>
      </c>
      <c r="J480" s="41">
        <v>2500</v>
      </c>
      <c r="K480" s="42">
        <v>21.6</v>
      </c>
      <c r="L480" s="43"/>
      <c r="M480" s="43">
        <f>L480*K480</f>
        <v>0</v>
      </c>
      <c r="N480" s="35">
        <v>4690368015806</v>
      </c>
    </row>
    <row r="481" spans="1:14" ht="36" customHeight="1" outlineLevel="3" x14ac:dyDescent="0.2">
      <c r="A481" s="45">
        <v>16313</v>
      </c>
      <c r="B481" s="37" t="str">
        <f>HYPERLINK("http://sedek.ru/upload/iblock/872/kabachok_makaronnyy.JPG","фото")</f>
        <v>фото</v>
      </c>
      <c r="C481" s="38"/>
      <c r="D481" s="38" t="s">
        <v>266</v>
      </c>
      <c r="E481" s="39"/>
      <c r="F481" s="39" t="s">
        <v>621</v>
      </c>
      <c r="G481" s="40">
        <v>1</v>
      </c>
      <c r="H481" s="39" t="s">
        <v>101</v>
      </c>
      <c r="I481" s="39" t="s">
        <v>102</v>
      </c>
      <c r="J481" s="41">
        <v>2500</v>
      </c>
      <c r="K481" s="42">
        <v>29.5</v>
      </c>
      <c r="L481" s="43"/>
      <c r="M481" s="43">
        <f>L481*K481</f>
        <v>0</v>
      </c>
      <c r="N481" s="35">
        <v>4607015186369</v>
      </c>
    </row>
    <row r="482" spans="1:14" ht="24" customHeight="1" outlineLevel="3" x14ac:dyDescent="0.2">
      <c r="A482" s="45">
        <v>15085</v>
      </c>
      <c r="B482" s="37" t="str">
        <f>HYPERLINK("http://sedek.ru/upload/iblock/feb/kabachok_markiza.jpg","фото")</f>
        <v>фото</v>
      </c>
      <c r="C482" s="38"/>
      <c r="D482" s="38"/>
      <c r="E482" s="39"/>
      <c r="F482" s="39" t="s">
        <v>622</v>
      </c>
      <c r="G482" s="40">
        <v>2</v>
      </c>
      <c r="H482" s="39" t="s">
        <v>101</v>
      </c>
      <c r="I482" s="39" t="s">
        <v>102</v>
      </c>
      <c r="J482" s="41">
        <v>2000</v>
      </c>
      <c r="K482" s="42">
        <v>22.3</v>
      </c>
      <c r="L482" s="43"/>
      <c r="M482" s="43">
        <f>L482*K482</f>
        <v>0</v>
      </c>
      <c r="N482" s="35">
        <v>4607015186376</v>
      </c>
    </row>
    <row r="483" spans="1:14" ht="24" customHeight="1" outlineLevel="3" x14ac:dyDescent="0.2">
      <c r="A483" s="45">
        <v>29295</v>
      </c>
      <c r="B483" s="37" t="str">
        <f>HYPERLINK("http://sedek.ru/upload/iblock/fb2/kabachok_matros.jpg","фото")</f>
        <v>фото</v>
      </c>
      <c r="C483" s="38"/>
      <c r="D483" s="38"/>
      <c r="E483" s="39"/>
      <c r="F483" s="39" t="s">
        <v>623</v>
      </c>
      <c r="G483" s="40">
        <v>2</v>
      </c>
      <c r="H483" s="39" t="s">
        <v>101</v>
      </c>
      <c r="I483" s="39" t="s">
        <v>102</v>
      </c>
      <c r="J483" s="41">
        <v>2000</v>
      </c>
      <c r="K483" s="42">
        <v>20.5</v>
      </c>
      <c r="L483" s="43"/>
      <c r="M483" s="43">
        <f>L483*K483</f>
        <v>0</v>
      </c>
      <c r="N483" s="35">
        <v>4690368026208</v>
      </c>
    </row>
    <row r="484" spans="1:14" ht="36" customHeight="1" outlineLevel="3" x14ac:dyDescent="0.2">
      <c r="A484" s="45">
        <v>14269</v>
      </c>
      <c r="B484" s="37" t="str">
        <f>HYPERLINK("http://www.sedek.ru/upload/iblock/3d7/kabachok_masha_f1.jpg","фото")</f>
        <v>фото</v>
      </c>
      <c r="C484" s="38"/>
      <c r="D484" s="38" t="s">
        <v>266</v>
      </c>
      <c r="E484" s="39"/>
      <c r="F484" s="39" t="s">
        <v>624</v>
      </c>
      <c r="G484" s="40">
        <v>1</v>
      </c>
      <c r="H484" s="39" t="s">
        <v>101</v>
      </c>
      <c r="I484" s="39" t="s">
        <v>102</v>
      </c>
      <c r="J484" s="41">
        <v>2000</v>
      </c>
      <c r="K484" s="42">
        <v>40.200000000000003</v>
      </c>
      <c r="L484" s="43"/>
      <c r="M484" s="43">
        <f>L484*K484</f>
        <v>0</v>
      </c>
      <c r="N484" s="35">
        <v>4607116267202</v>
      </c>
    </row>
    <row r="485" spans="1:14" ht="24" customHeight="1" outlineLevel="3" x14ac:dyDescent="0.2">
      <c r="A485" s="45">
        <v>15247</v>
      </c>
      <c r="B485" s="37" t="str">
        <f>HYPERLINK("http://sedek.ru/upload/iblock/6cb/kabachok_mechta_khozyayki.jpg","фото")</f>
        <v>фото</v>
      </c>
      <c r="C485" s="38"/>
      <c r="D485" s="38"/>
      <c r="E485" s="39"/>
      <c r="F485" s="39" t="s">
        <v>625</v>
      </c>
      <c r="G485" s="40">
        <v>2</v>
      </c>
      <c r="H485" s="39" t="s">
        <v>101</v>
      </c>
      <c r="I485" s="39" t="s">
        <v>102</v>
      </c>
      <c r="J485" s="41">
        <v>2000</v>
      </c>
      <c r="K485" s="42">
        <v>21.6</v>
      </c>
      <c r="L485" s="43"/>
      <c r="M485" s="43">
        <f>L485*K485</f>
        <v>0</v>
      </c>
      <c r="N485" s="35">
        <v>4690368004268</v>
      </c>
    </row>
    <row r="486" spans="1:14" ht="24" customHeight="1" outlineLevel="3" x14ac:dyDescent="0.2">
      <c r="A486" s="45">
        <v>14375</v>
      </c>
      <c r="B486" s="37" t="str">
        <f>HYPERLINK("http://www.sedek.ru/upload/iblock/9b1/kabachok_nefrit_f1.jpg","фото")</f>
        <v>фото</v>
      </c>
      <c r="C486" s="38"/>
      <c r="D486" s="38"/>
      <c r="E486" s="39"/>
      <c r="F486" s="39" t="s">
        <v>626</v>
      </c>
      <c r="G486" s="40">
        <v>2</v>
      </c>
      <c r="H486" s="39" t="s">
        <v>101</v>
      </c>
      <c r="I486" s="39" t="s">
        <v>102</v>
      </c>
      <c r="J486" s="41">
        <v>2000</v>
      </c>
      <c r="K486" s="42">
        <v>16.899999999999999</v>
      </c>
      <c r="L486" s="43"/>
      <c r="M486" s="43">
        <f>L486*K486</f>
        <v>0</v>
      </c>
      <c r="N486" s="35">
        <v>4607015186383</v>
      </c>
    </row>
    <row r="487" spans="1:14" ht="24" customHeight="1" outlineLevel="3" x14ac:dyDescent="0.2">
      <c r="A487" s="45">
        <v>16442</v>
      </c>
      <c r="B487" s="37" t="str">
        <f>HYPERLINK("http://sedek.ru/upload/iblock/2d8/kabachok_povarikha_f1.jpg","фото")</f>
        <v>фото</v>
      </c>
      <c r="C487" s="38"/>
      <c r="D487" s="38"/>
      <c r="E487" s="39"/>
      <c r="F487" s="39" t="s">
        <v>627</v>
      </c>
      <c r="G487" s="40">
        <v>1</v>
      </c>
      <c r="H487" s="39" t="s">
        <v>101</v>
      </c>
      <c r="I487" s="39" t="s">
        <v>102</v>
      </c>
      <c r="J487" s="41">
        <v>2000</v>
      </c>
      <c r="K487" s="42">
        <v>25.1</v>
      </c>
      <c r="L487" s="43"/>
      <c r="M487" s="43">
        <f>L487*K487</f>
        <v>0</v>
      </c>
      <c r="N487" s="35">
        <v>4690368007757</v>
      </c>
    </row>
    <row r="488" spans="1:14" ht="24" customHeight="1" outlineLevel="3" x14ac:dyDescent="0.2">
      <c r="A488" s="36" t="s">
        <v>628</v>
      </c>
      <c r="B488" s="37" t="str">
        <f>HYPERLINK("http://www.sedek.ru/upload/iblock/ca4/kabachok_prints_f1.jpg","Фото")</f>
        <v>Фото</v>
      </c>
      <c r="C488" s="38"/>
      <c r="D488" s="38"/>
      <c r="E488" s="39"/>
      <c r="F488" s="39" t="s">
        <v>629</v>
      </c>
      <c r="G488" s="40">
        <v>1</v>
      </c>
      <c r="H488" s="39" t="s">
        <v>101</v>
      </c>
      <c r="I488" s="39" t="s">
        <v>102</v>
      </c>
      <c r="J488" s="41">
        <v>2500</v>
      </c>
      <c r="K488" s="42">
        <v>35</v>
      </c>
      <c r="L488" s="43"/>
      <c r="M488" s="43">
        <f>L488*K488</f>
        <v>0</v>
      </c>
      <c r="N488" s="35">
        <v>4690368030205</v>
      </c>
    </row>
    <row r="489" spans="1:14" ht="36" customHeight="1" outlineLevel="3" x14ac:dyDescent="0.2">
      <c r="A489" s="45">
        <v>14041</v>
      </c>
      <c r="B489" s="37" t="str">
        <f>HYPERLINK("http://sedek.ru/upload/iblock/c93/kabachok_spagetti.jpg","фото")</f>
        <v>фото</v>
      </c>
      <c r="C489" s="38"/>
      <c r="D489" s="38"/>
      <c r="E489" s="39"/>
      <c r="F489" s="39" t="s">
        <v>630</v>
      </c>
      <c r="G489" s="40">
        <v>1</v>
      </c>
      <c r="H489" s="39" t="s">
        <v>101</v>
      </c>
      <c r="I489" s="39" t="s">
        <v>102</v>
      </c>
      <c r="J489" s="41">
        <v>2500</v>
      </c>
      <c r="K489" s="42">
        <v>20.100000000000001</v>
      </c>
      <c r="L489" s="43"/>
      <c r="M489" s="43">
        <f>L489*K489</f>
        <v>0</v>
      </c>
      <c r="N489" s="35">
        <v>4690368014274</v>
      </c>
    </row>
    <row r="490" spans="1:14" ht="36" customHeight="1" outlineLevel="3" x14ac:dyDescent="0.2">
      <c r="A490" s="45">
        <v>14041</v>
      </c>
      <c r="B490" s="37" t="str">
        <f>HYPERLINK("http://sedek.ru/upload/iblock/c93/kabachok_spagetti.jpg","фото")</f>
        <v>фото</v>
      </c>
      <c r="C490" s="38"/>
      <c r="D490" s="38"/>
      <c r="E490" s="39"/>
      <c r="F490" s="39" t="s">
        <v>631</v>
      </c>
      <c r="G490" s="40">
        <v>1</v>
      </c>
      <c r="H490" s="39" t="s">
        <v>101</v>
      </c>
      <c r="I490" s="39" t="s">
        <v>287</v>
      </c>
      <c r="J490" s="41">
        <v>2500</v>
      </c>
      <c r="K490" s="42">
        <v>11.2</v>
      </c>
      <c r="L490" s="43"/>
      <c r="M490" s="43">
        <f>L490*K490</f>
        <v>0</v>
      </c>
      <c r="N490" s="35">
        <v>4690368004527</v>
      </c>
    </row>
    <row r="491" spans="1:14" ht="36" customHeight="1" outlineLevel="3" x14ac:dyDescent="0.2">
      <c r="A491" s="45">
        <v>13661</v>
      </c>
      <c r="B491" s="37" t="str">
        <f>HYPERLINK("http://www.sedek.ru/upload/iblock/258/kabachok_teshcha_khlebosolnaya_f1.jpg","фото")</f>
        <v>фото</v>
      </c>
      <c r="C491" s="38"/>
      <c r="D491" s="38"/>
      <c r="E491" s="39"/>
      <c r="F491" s="39" t="s">
        <v>632</v>
      </c>
      <c r="G491" s="40">
        <v>1</v>
      </c>
      <c r="H491" s="39" t="s">
        <v>101</v>
      </c>
      <c r="I491" s="39" t="s">
        <v>102</v>
      </c>
      <c r="J491" s="41">
        <v>2000</v>
      </c>
      <c r="K491" s="42">
        <v>41.8</v>
      </c>
      <c r="L491" s="43"/>
      <c r="M491" s="43">
        <f>L491*K491</f>
        <v>0</v>
      </c>
      <c r="N491" s="35">
        <v>4690368022057</v>
      </c>
    </row>
    <row r="492" spans="1:14" ht="24" customHeight="1" outlineLevel="3" x14ac:dyDescent="0.2">
      <c r="A492" s="45">
        <v>16778</v>
      </c>
      <c r="B492" s="37" t="str">
        <f>HYPERLINK("http://sedek.ru/upload/iblock/8fe/kabachok_udacha.jpg","фото")</f>
        <v>фото</v>
      </c>
      <c r="C492" s="38"/>
      <c r="D492" s="38"/>
      <c r="E492" s="39"/>
      <c r="F492" s="39" t="s">
        <v>633</v>
      </c>
      <c r="G492" s="40">
        <v>2</v>
      </c>
      <c r="H492" s="39" t="s">
        <v>101</v>
      </c>
      <c r="I492" s="39" t="s">
        <v>102</v>
      </c>
      <c r="J492" s="41">
        <v>2000</v>
      </c>
      <c r="K492" s="42">
        <v>24.5</v>
      </c>
      <c r="L492" s="43"/>
      <c r="M492" s="43">
        <f>L492*K492</f>
        <v>0</v>
      </c>
      <c r="N492" s="35">
        <v>4690368023931</v>
      </c>
    </row>
    <row r="493" spans="1:14" ht="24" customHeight="1" outlineLevel="3" x14ac:dyDescent="0.2">
      <c r="A493" s="45">
        <v>14810</v>
      </c>
      <c r="B493" s="37" t="str">
        <f>HYPERLINK("http://www.sedek.ru/upload/iblock/fbb/kabachok_fermer_dzhan_f1.jpg","фото")</f>
        <v>фото</v>
      </c>
      <c r="C493" s="38"/>
      <c r="D493" s="38"/>
      <c r="E493" s="39"/>
      <c r="F493" s="39" t="s">
        <v>634</v>
      </c>
      <c r="G493" s="40">
        <v>2</v>
      </c>
      <c r="H493" s="39" t="s">
        <v>101</v>
      </c>
      <c r="I493" s="39" t="s">
        <v>102</v>
      </c>
      <c r="J493" s="41">
        <v>2000</v>
      </c>
      <c r="K493" s="42">
        <v>40.200000000000003</v>
      </c>
      <c r="L493" s="43"/>
      <c r="M493" s="43">
        <f>L493*K493</f>
        <v>0</v>
      </c>
      <c r="N493" s="35">
        <v>4607116267219</v>
      </c>
    </row>
    <row r="494" spans="1:14" ht="24" customHeight="1" outlineLevel="3" x14ac:dyDescent="0.2">
      <c r="A494" s="45">
        <v>15280</v>
      </c>
      <c r="B494" s="37" t="str">
        <f>HYPERLINK("http://www.sedek.ru/upload/iblock/5e0/kabachok_tsukesha.jpg","фото")</f>
        <v>фото</v>
      </c>
      <c r="C494" s="38"/>
      <c r="D494" s="38"/>
      <c r="E494" s="39"/>
      <c r="F494" s="39" t="s">
        <v>635</v>
      </c>
      <c r="G494" s="40">
        <v>2</v>
      </c>
      <c r="H494" s="39" t="s">
        <v>101</v>
      </c>
      <c r="I494" s="39" t="s">
        <v>102</v>
      </c>
      <c r="J494" s="41">
        <v>2000</v>
      </c>
      <c r="K494" s="42">
        <v>15.6</v>
      </c>
      <c r="L494" s="43"/>
      <c r="M494" s="43">
        <f>L494*K494</f>
        <v>0</v>
      </c>
      <c r="N494" s="35">
        <v>4607149400652</v>
      </c>
    </row>
    <row r="495" spans="1:14" ht="24" customHeight="1" outlineLevel="3" x14ac:dyDescent="0.2">
      <c r="A495" s="45">
        <v>15280</v>
      </c>
      <c r="B495" s="37" t="str">
        <f>HYPERLINK("http://www.sedek.ru/upload/iblock/5e0/kabachok_tsukesha.jpg","фото")</f>
        <v>фото</v>
      </c>
      <c r="C495" s="38"/>
      <c r="D495" s="38"/>
      <c r="E495" s="39"/>
      <c r="F495" s="39" t="s">
        <v>636</v>
      </c>
      <c r="G495" s="40">
        <v>2</v>
      </c>
      <c r="H495" s="39" t="s">
        <v>101</v>
      </c>
      <c r="I495" s="39" t="s">
        <v>287</v>
      </c>
      <c r="J495" s="41">
        <v>2000</v>
      </c>
      <c r="K495" s="42">
        <v>10.1</v>
      </c>
      <c r="L495" s="43"/>
      <c r="M495" s="43">
        <f>L495*K495</f>
        <v>0</v>
      </c>
      <c r="N495" s="35">
        <v>4607149407064</v>
      </c>
    </row>
    <row r="496" spans="1:14" ht="24" customHeight="1" outlineLevel="3" x14ac:dyDescent="0.2">
      <c r="A496" s="45">
        <v>13997</v>
      </c>
      <c r="B496" s="37" t="str">
        <f>HYPERLINK("http://sedek.ru/upload/iblock/6b8/kabachok_chernyy_krasavets.jpg","фото")</f>
        <v>фото</v>
      </c>
      <c r="C496" s="38"/>
      <c r="D496" s="38"/>
      <c r="E496" s="39"/>
      <c r="F496" s="39" t="s">
        <v>637</v>
      </c>
      <c r="G496" s="40">
        <v>2</v>
      </c>
      <c r="H496" s="39" t="s">
        <v>101</v>
      </c>
      <c r="I496" s="39" t="s">
        <v>102</v>
      </c>
      <c r="J496" s="41">
        <v>2000</v>
      </c>
      <c r="K496" s="42">
        <v>15.6</v>
      </c>
      <c r="L496" s="43"/>
      <c r="M496" s="43">
        <f>L496*K496</f>
        <v>0</v>
      </c>
      <c r="N496" s="35">
        <v>4607149400645</v>
      </c>
    </row>
    <row r="497" spans="1:14" ht="24" customHeight="1" outlineLevel="3" x14ac:dyDescent="0.2">
      <c r="A497" s="45">
        <v>13997</v>
      </c>
      <c r="B497" s="37" t="str">
        <f>HYPERLINK("http://sedek.ru/upload/iblock/6b8/kabachok_chernyy_krasavets.jpg","фото")</f>
        <v>фото</v>
      </c>
      <c r="C497" s="38"/>
      <c r="D497" s="38"/>
      <c r="E497" s="39"/>
      <c r="F497" s="39" t="s">
        <v>638</v>
      </c>
      <c r="G497" s="40">
        <v>2</v>
      </c>
      <c r="H497" s="39" t="s">
        <v>101</v>
      </c>
      <c r="I497" s="39" t="s">
        <v>287</v>
      </c>
      <c r="J497" s="41">
        <v>2000</v>
      </c>
      <c r="K497" s="42">
        <v>10.1</v>
      </c>
      <c r="L497" s="43"/>
      <c r="M497" s="43">
        <f>L497*K497</f>
        <v>0</v>
      </c>
      <c r="N497" s="35">
        <v>4607149402236</v>
      </c>
    </row>
    <row r="498" spans="1:14" ht="24" customHeight="1" outlineLevel="3" x14ac:dyDescent="0.2">
      <c r="A498" s="45">
        <v>15334</v>
      </c>
      <c r="B498" s="37" t="str">
        <f>HYPERLINK("http://sedek.ru/upload/iblock/9ab/kabachok_chudo_oranzhevoe_f1.jpg","фото")</f>
        <v>фото</v>
      </c>
      <c r="C498" s="38"/>
      <c r="D498" s="38"/>
      <c r="E498" s="39"/>
      <c r="F498" s="39" t="s">
        <v>639</v>
      </c>
      <c r="G498" s="40">
        <v>1</v>
      </c>
      <c r="H498" s="39" t="s">
        <v>101</v>
      </c>
      <c r="I498" s="39" t="s">
        <v>102</v>
      </c>
      <c r="J498" s="41">
        <v>2500</v>
      </c>
      <c r="K498" s="42">
        <v>72.400000000000006</v>
      </c>
      <c r="L498" s="43"/>
      <c r="M498" s="43">
        <f>L498*K498</f>
        <v>0</v>
      </c>
      <c r="N498" s="35">
        <v>4690368009300</v>
      </c>
    </row>
    <row r="499" spans="1:14" ht="24" customHeight="1" outlineLevel="3" x14ac:dyDescent="0.2">
      <c r="A499" s="45">
        <v>15903</v>
      </c>
      <c r="B499" s="37" t="str">
        <f>HYPERLINK("http://sedek.ru/upload/iblock/fa4/kabachok_embessi_f1.jpg","фото")</f>
        <v>фото</v>
      </c>
      <c r="C499" s="38"/>
      <c r="D499" s="38"/>
      <c r="E499" s="39"/>
      <c r="F499" s="39" t="s">
        <v>640</v>
      </c>
      <c r="G499" s="44">
        <v>1.5</v>
      </c>
      <c r="H499" s="39" t="s">
        <v>101</v>
      </c>
      <c r="I499" s="39" t="s">
        <v>102</v>
      </c>
      <c r="J499" s="41">
        <v>2500</v>
      </c>
      <c r="K499" s="42">
        <v>48.1</v>
      </c>
      <c r="L499" s="43"/>
      <c r="M499" s="43">
        <f>L499*K499</f>
        <v>0</v>
      </c>
      <c r="N499" s="35">
        <v>4607015186390</v>
      </c>
    </row>
    <row r="500" spans="1:14" ht="24" customHeight="1" outlineLevel="3" x14ac:dyDescent="0.2">
      <c r="A500" s="45">
        <v>13884</v>
      </c>
      <c r="B500" s="37" t="str">
        <f>HYPERLINK("http://sedek.ru/upload/iblock/4ce/kabachok_yakor.jpg","фото")</f>
        <v>фото</v>
      </c>
      <c r="C500" s="38"/>
      <c r="D500" s="38"/>
      <c r="E500" s="39"/>
      <c r="F500" s="39" t="s">
        <v>641</v>
      </c>
      <c r="G500" s="40">
        <v>2</v>
      </c>
      <c r="H500" s="39" t="s">
        <v>101</v>
      </c>
      <c r="I500" s="39" t="s">
        <v>102</v>
      </c>
      <c r="J500" s="41">
        <v>2000</v>
      </c>
      <c r="K500" s="42">
        <v>15.6</v>
      </c>
      <c r="L500" s="43"/>
      <c r="M500" s="43">
        <f>L500*K500</f>
        <v>0</v>
      </c>
      <c r="N500" s="35">
        <v>4607015186406</v>
      </c>
    </row>
    <row r="501" spans="1:14" ht="24" customHeight="1" outlineLevel="3" x14ac:dyDescent="0.2">
      <c r="A501" s="45">
        <v>13884</v>
      </c>
      <c r="B501" s="37" t="str">
        <f>HYPERLINK("http://sedek.ru/upload/iblock/4ce/kabachok_yakor.jpg","фото")</f>
        <v>фото</v>
      </c>
      <c r="C501" s="38"/>
      <c r="D501" s="38"/>
      <c r="E501" s="39"/>
      <c r="F501" s="39" t="s">
        <v>642</v>
      </c>
      <c r="G501" s="40">
        <v>2</v>
      </c>
      <c r="H501" s="39" t="s">
        <v>101</v>
      </c>
      <c r="I501" s="39" t="s">
        <v>287</v>
      </c>
      <c r="J501" s="41">
        <v>2000</v>
      </c>
      <c r="K501" s="42">
        <v>7.4</v>
      </c>
      <c r="L501" s="43"/>
      <c r="M501" s="43">
        <f>L501*K501</f>
        <v>0</v>
      </c>
      <c r="N501" s="35">
        <v>4690368032322</v>
      </c>
    </row>
    <row r="502" spans="1:14" ht="12" customHeight="1" outlineLevel="2" x14ac:dyDescent="0.2">
      <c r="A502" s="22"/>
      <c r="B502" s="23"/>
      <c r="C502" s="23"/>
      <c r="D502" s="23"/>
      <c r="E502" s="24"/>
      <c r="F502" s="24" t="s">
        <v>643</v>
      </c>
      <c r="G502" s="24"/>
      <c r="H502" s="24"/>
      <c r="I502" s="24"/>
      <c r="J502" s="24"/>
      <c r="K502" s="24"/>
      <c r="L502" s="24"/>
      <c r="M502" s="24"/>
      <c r="N502" s="25"/>
    </row>
    <row r="503" spans="1:14" ht="24" customHeight="1" outlineLevel="3" x14ac:dyDescent="0.2">
      <c r="A503" s="45">
        <v>14417</v>
      </c>
      <c r="B503" s="37" t="str">
        <f>HYPERLINK("http://sedek.ru/upload/iblock/2eb/kapusta_aziatskiy_ekspress_f1_b_k.jpg","фото")</f>
        <v>фото</v>
      </c>
      <c r="C503" s="38"/>
      <c r="D503" s="38"/>
      <c r="E503" s="39"/>
      <c r="F503" s="39" t="s">
        <v>644</v>
      </c>
      <c r="G503" s="54">
        <v>0.05</v>
      </c>
      <c r="H503" s="39" t="s">
        <v>101</v>
      </c>
      <c r="I503" s="39" t="s">
        <v>102</v>
      </c>
      <c r="J503" s="41">
        <v>5000</v>
      </c>
      <c r="K503" s="42">
        <v>33.4</v>
      </c>
      <c r="L503" s="43"/>
      <c r="M503" s="43">
        <f>L503*K503</f>
        <v>0</v>
      </c>
      <c r="N503" s="35">
        <v>4690368014908</v>
      </c>
    </row>
    <row r="504" spans="1:14" ht="24" customHeight="1" outlineLevel="3" x14ac:dyDescent="0.2">
      <c r="A504" s="45">
        <v>15344</v>
      </c>
      <c r="B504" s="37" t="str">
        <f>HYPERLINK("http://www.sedek.ru/upload/iblock/ed0/kapusta_aysberg_f1.jpg","фото")</f>
        <v>фото</v>
      </c>
      <c r="C504" s="38"/>
      <c r="D504" s="38"/>
      <c r="E504" s="39"/>
      <c r="F504" s="39" t="s">
        <v>645</v>
      </c>
      <c r="G504" s="44">
        <v>0.1</v>
      </c>
      <c r="H504" s="39" t="s">
        <v>101</v>
      </c>
      <c r="I504" s="39" t="s">
        <v>102</v>
      </c>
      <c r="J504" s="41">
        <v>2500</v>
      </c>
      <c r="K504" s="42">
        <v>32.1</v>
      </c>
      <c r="L504" s="43"/>
      <c r="M504" s="43">
        <f>L504*K504</f>
        <v>0</v>
      </c>
      <c r="N504" s="35">
        <v>4690368009317</v>
      </c>
    </row>
    <row r="505" spans="1:14" ht="24" customHeight="1" outlineLevel="3" x14ac:dyDescent="0.2">
      <c r="A505" s="45">
        <v>15795</v>
      </c>
      <c r="B505" s="37" t="str">
        <f>HYPERLINK("http://sedek.ru/upload/iblock/d97/kapusta_amager_611.jpg","фото")</f>
        <v>фото</v>
      </c>
      <c r="C505" s="38"/>
      <c r="D505" s="38"/>
      <c r="E505" s="39"/>
      <c r="F505" s="39" t="s">
        <v>646</v>
      </c>
      <c r="G505" s="44">
        <v>0.5</v>
      </c>
      <c r="H505" s="39" t="s">
        <v>101</v>
      </c>
      <c r="I505" s="39" t="s">
        <v>102</v>
      </c>
      <c r="J505" s="41">
        <v>2000</v>
      </c>
      <c r="K505" s="42">
        <v>15.6</v>
      </c>
      <c r="L505" s="43"/>
      <c r="M505" s="43">
        <f>L505*K505</f>
        <v>0</v>
      </c>
      <c r="N505" s="35">
        <v>4607015186413</v>
      </c>
    </row>
    <row r="506" spans="1:14" ht="24" customHeight="1" outlineLevel="3" x14ac:dyDescent="0.2">
      <c r="A506" s="45">
        <v>15795</v>
      </c>
      <c r="B506" s="37" t="str">
        <f>HYPERLINK("http://sedek.ru/upload/iblock/d97/kapusta_amager_611.jpg","фото")</f>
        <v>фото</v>
      </c>
      <c r="C506" s="38"/>
      <c r="D506" s="38"/>
      <c r="E506" s="39"/>
      <c r="F506" s="39" t="s">
        <v>647</v>
      </c>
      <c r="G506" s="44">
        <v>0.5</v>
      </c>
      <c r="H506" s="39" t="s">
        <v>101</v>
      </c>
      <c r="I506" s="39" t="s">
        <v>287</v>
      </c>
      <c r="J506" s="41">
        <v>2000</v>
      </c>
      <c r="K506" s="42">
        <v>6.5</v>
      </c>
      <c r="L506" s="43"/>
      <c r="M506" s="43">
        <f>L506*K506</f>
        <v>0</v>
      </c>
      <c r="N506" s="35">
        <v>4607149409631</v>
      </c>
    </row>
    <row r="507" spans="1:14" ht="24" customHeight="1" outlineLevel="3" x14ac:dyDescent="0.2">
      <c r="A507" s="45">
        <v>14447</v>
      </c>
      <c r="B507" s="37" t="str">
        <f>HYPERLINK("http://sedek.ru/upload/iblock/9ca/kapusta_atriya_f1.jpg","фото")</f>
        <v>фото</v>
      </c>
      <c r="C507" s="38"/>
      <c r="D507" s="38"/>
      <c r="E507" s="39"/>
      <c r="F507" s="39" t="s">
        <v>648</v>
      </c>
      <c r="G507" s="40">
        <v>10</v>
      </c>
      <c r="H507" s="39" t="s">
        <v>101</v>
      </c>
      <c r="I507" s="39" t="s">
        <v>102</v>
      </c>
      <c r="J507" s="41">
        <v>5000</v>
      </c>
      <c r="K507" s="42">
        <v>49.5</v>
      </c>
      <c r="L507" s="43"/>
      <c r="M507" s="43">
        <f>L507*K507</f>
        <v>0</v>
      </c>
      <c r="N507" s="35">
        <v>4607015186420</v>
      </c>
    </row>
    <row r="508" spans="1:14" ht="24" customHeight="1" outlineLevel="3" x14ac:dyDescent="0.2">
      <c r="A508" s="45">
        <v>15121</v>
      </c>
      <c r="B508" s="37" t="str">
        <f>HYPERLINK("http://sedek.ru/upload/iblock/265/kapusta_babushkin_sekret.jpg","фото")</f>
        <v>фото</v>
      </c>
      <c r="C508" s="38"/>
      <c r="D508" s="38"/>
      <c r="E508" s="39"/>
      <c r="F508" s="39" t="s">
        <v>649</v>
      </c>
      <c r="G508" s="44">
        <v>0.5</v>
      </c>
      <c r="H508" s="39" t="s">
        <v>101</v>
      </c>
      <c r="I508" s="39" t="s">
        <v>102</v>
      </c>
      <c r="J508" s="41">
        <v>2000</v>
      </c>
      <c r="K508" s="42">
        <v>20.5</v>
      </c>
      <c r="L508" s="43"/>
      <c r="M508" s="43">
        <f>L508*K508</f>
        <v>0</v>
      </c>
      <c r="N508" s="35">
        <v>4690368004275</v>
      </c>
    </row>
    <row r="509" spans="1:14" ht="24" customHeight="1" outlineLevel="3" x14ac:dyDescent="0.2">
      <c r="A509" s="45">
        <v>15663</v>
      </c>
      <c r="B509" s="37" t="str">
        <f>HYPERLINK("http://sedek.ru/upload/iblock/808/kapusta_belaya_golovushka.jpg","фото")</f>
        <v>фото</v>
      </c>
      <c r="C509" s="38"/>
      <c r="D509" s="38"/>
      <c r="E509" s="39"/>
      <c r="F509" s="39" t="s">
        <v>650</v>
      </c>
      <c r="G509" s="44">
        <v>0.5</v>
      </c>
      <c r="H509" s="39" t="s">
        <v>101</v>
      </c>
      <c r="I509" s="39" t="s">
        <v>102</v>
      </c>
      <c r="J509" s="41">
        <v>2000</v>
      </c>
      <c r="K509" s="42">
        <v>20.6</v>
      </c>
      <c r="L509" s="43"/>
      <c r="M509" s="43">
        <f>L509*K509</f>
        <v>0</v>
      </c>
      <c r="N509" s="35">
        <v>4690368015073</v>
      </c>
    </row>
    <row r="510" spans="1:14" ht="24" customHeight="1" outlineLevel="3" x14ac:dyDescent="0.2">
      <c r="A510" s="45">
        <v>15663</v>
      </c>
      <c r="B510" s="37" t="str">
        <f>HYPERLINK("http://sedek.ru/upload/iblock/808/kapusta_belaya_golovushka.jpg","фото")</f>
        <v>фото</v>
      </c>
      <c r="C510" s="38"/>
      <c r="D510" s="38"/>
      <c r="E510" s="39"/>
      <c r="F510" s="39" t="s">
        <v>651</v>
      </c>
      <c r="G510" s="44">
        <v>0.5</v>
      </c>
      <c r="H510" s="39" t="s">
        <v>101</v>
      </c>
      <c r="I510" s="39" t="s">
        <v>287</v>
      </c>
      <c r="J510" s="41">
        <v>2000</v>
      </c>
      <c r="K510" s="42">
        <v>9.4</v>
      </c>
      <c r="L510" s="43"/>
      <c r="M510" s="43">
        <f>L510*K510</f>
        <v>0</v>
      </c>
      <c r="N510" s="35">
        <v>4690368019484</v>
      </c>
    </row>
    <row r="511" spans="1:14" ht="24" customHeight="1" outlineLevel="3" x14ac:dyDescent="0.2">
      <c r="A511" s="45">
        <v>14618</v>
      </c>
      <c r="B511" s="37" t="str">
        <f>HYPERLINK("http://sedek.ru/upload/iblock/56b/kapusta_belorusskaya_455.jpg","фото")</f>
        <v>фото</v>
      </c>
      <c r="C511" s="38"/>
      <c r="D511" s="38"/>
      <c r="E511" s="39"/>
      <c r="F511" s="39" t="s">
        <v>652</v>
      </c>
      <c r="G511" s="44">
        <v>0.5</v>
      </c>
      <c r="H511" s="39" t="s">
        <v>101</v>
      </c>
      <c r="I511" s="39" t="s">
        <v>102</v>
      </c>
      <c r="J511" s="41">
        <v>2000</v>
      </c>
      <c r="K511" s="42">
        <v>15.6</v>
      </c>
      <c r="L511" s="43"/>
      <c r="M511" s="43">
        <f>L511*K511</f>
        <v>0</v>
      </c>
      <c r="N511" s="35">
        <v>4607015186444</v>
      </c>
    </row>
    <row r="512" spans="1:14" ht="24" customHeight="1" outlineLevel="3" x14ac:dyDescent="0.2">
      <c r="A512" s="45">
        <v>13534</v>
      </c>
      <c r="B512" s="37" t="str">
        <f>HYPERLINK("http://sedek.ru/upload/iblock/24e/kapusta_boksyer.jpg","фото")</f>
        <v>фото</v>
      </c>
      <c r="C512" s="38"/>
      <c r="D512" s="38"/>
      <c r="E512" s="39"/>
      <c r="F512" s="39" t="s">
        <v>653</v>
      </c>
      <c r="G512" s="44">
        <v>0.5</v>
      </c>
      <c r="H512" s="39" t="s">
        <v>101</v>
      </c>
      <c r="I512" s="39" t="s">
        <v>102</v>
      </c>
      <c r="J512" s="41">
        <v>2000</v>
      </c>
      <c r="K512" s="42">
        <v>20.5</v>
      </c>
      <c r="L512" s="43"/>
      <c r="M512" s="43">
        <f>L512*K512</f>
        <v>0</v>
      </c>
      <c r="N512" s="35">
        <v>4607015186451</v>
      </c>
    </row>
    <row r="513" spans="1:14" ht="24" customHeight="1" outlineLevel="3" x14ac:dyDescent="0.2">
      <c r="A513" s="45">
        <v>13534</v>
      </c>
      <c r="B513" s="37" t="str">
        <f>HYPERLINK("http://sedek.ru/upload/iblock/24e/kapusta_boksyer.jpg","фото")</f>
        <v>фото</v>
      </c>
      <c r="C513" s="38"/>
      <c r="D513" s="38"/>
      <c r="E513" s="39"/>
      <c r="F513" s="39" t="s">
        <v>654</v>
      </c>
      <c r="G513" s="44">
        <v>0.5</v>
      </c>
      <c r="H513" s="39" t="s">
        <v>101</v>
      </c>
      <c r="I513" s="39" t="s">
        <v>287</v>
      </c>
      <c r="J513" s="41">
        <v>2000</v>
      </c>
      <c r="K513" s="42">
        <v>8</v>
      </c>
      <c r="L513" s="43"/>
      <c r="M513" s="43">
        <f>L513*K513</f>
        <v>0</v>
      </c>
      <c r="N513" s="35">
        <v>4607149408733</v>
      </c>
    </row>
    <row r="514" spans="1:14" ht="24" customHeight="1" outlineLevel="3" x14ac:dyDescent="0.2">
      <c r="A514" s="45">
        <v>14809</v>
      </c>
      <c r="B514" s="37" t="str">
        <f>HYPERLINK("http://sedek.ru/upload/iblock/8cf/kapusta_bella_f1.jpg","фото")</f>
        <v>фото</v>
      </c>
      <c r="C514" s="38"/>
      <c r="D514" s="38"/>
      <c r="E514" s="39"/>
      <c r="F514" s="39" t="s">
        <v>655</v>
      </c>
      <c r="G514" s="44">
        <v>0.1</v>
      </c>
      <c r="H514" s="39" t="s">
        <v>101</v>
      </c>
      <c r="I514" s="39" t="s">
        <v>102</v>
      </c>
      <c r="J514" s="41">
        <v>2500</v>
      </c>
      <c r="K514" s="42">
        <v>20.5</v>
      </c>
      <c r="L514" s="43"/>
      <c r="M514" s="43">
        <f>L514*K514</f>
        <v>0</v>
      </c>
      <c r="N514" s="35">
        <v>4607015186475</v>
      </c>
    </row>
    <row r="515" spans="1:14" ht="24" customHeight="1" outlineLevel="3" x14ac:dyDescent="0.2">
      <c r="A515" s="45">
        <v>14505</v>
      </c>
      <c r="B515" s="37" t="str">
        <f>HYPERLINK("http://sedek.ru/upload/iblock/0dd/kapusta_valentina_f1.jpg","фото")</f>
        <v>фото</v>
      </c>
      <c r="C515" s="38"/>
      <c r="D515" s="38"/>
      <c r="E515" s="39"/>
      <c r="F515" s="39" t="s">
        <v>656</v>
      </c>
      <c r="G515" s="44">
        <v>0.1</v>
      </c>
      <c r="H515" s="39" t="s">
        <v>101</v>
      </c>
      <c r="I515" s="39" t="s">
        <v>102</v>
      </c>
      <c r="J515" s="41">
        <v>2500</v>
      </c>
      <c r="K515" s="42">
        <v>44.7</v>
      </c>
      <c r="L515" s="43"/>
      <c r="M515" s="43">
        <f>L515*K515</f>
        <v>0</v>
      </c>
      <c r="N515" s="35">
        <v>4607149406593</v>
      </c>
    </row>
    <row r="516" spans="1:14" ht="24" customHeight="1" outlineLevel="3" x14ac:dyDescent="0.2">
      <c r="A516" s="45">
        <v>15540</v>
      </c>
      <c r="B516" s="37" t="str">
        <f>HYPERLINK("http://sedek.ru/upload/iblock/278/kapusta_vanila_ays_f1.jpg","фото")</f>
        <v>фото</v>
      </c>
      <c r="C516" s="38"/>
      <c r="D516" s="38"/>
      <c r="E516" s="39"/>
      <c r="F516" s="39" t="s">
        <v>657</v>
      </c>
      <c r="G516" s="44">
        <v>0.5</v>
      </c>
      <c r="H516" s="39" t="s">
        <v>101</v>
      </c>
      <c r="I516" s="39" t="s">
        <v>102</v>
      </c>
      <c r="J516" s="41">
        <v>2000</v>
      </c>
      <c r="K516" s="42">
        <v>20.5</v>
      </c>
      <c r="L516" s="43"/>
      <c r="M516" s="43">
        <f>L516*K516</f>
        <v>0</v>
      </c>
      <c r="N516" s="35">
        <v>4607116266847</v>
      </c>
    </row>
    <row r="517" spans="1:14" ht="24" customHeight="1" outlineLevel="3" x14ac:dyDescent="0.2">
      <c r="A517" s="36" t="s">
        <v>658</v>
      </c>
      <c r="B517" s="37" t="str">
        <f>HYPERLINK("http://www.sedek.ru/upload/iblock/e79/kapusta_venera_f1_brokkoli.jpg","Фото")</f>
        <v>Фото</v>
      </c>
      <c r="C517" s="38"/>
      <c r="D517" s="38"/>
      <c r="E517" s="39"/>
      <c r="F517" s="39" t="s">
        <v>659</v>
      </c>
      <c r="G517" s="54">
        <v>0.05</v>
      </c>
      <c r="H517" s="39" t="s">
        <v>101</v>
      </c>
      <c r="I517" s="39" t="s">
        <v>102</v>
      </c>
      <c r="J517" s="41">
        <v>5000</v>
      </c>
      <c r="K517" s="42">
        <v>33.4</v>
      </c>
      <c r="L517" s="43"/>
      <c r="M517" s="43">
        <f>L517*K517</f>
        <v>0</v>
      </c>
      <c r="N517" s="35">
        <v>4690368030212</v>
      </c>
    </row>
    <row r="518" spans="1:14" ht="24" customHeight="1" outlineLevel="3" x14ac:dyDescent="0.2">
      <c r="A518" s="45">
        <v>16202</v>
      </c>
      <c r="B518" s="37" t="str">
        <f>HYPERLINK("http://sedek.ru/upload/iblock/ae9/kapusta_venskaya_belaya_1350.jpg","фото")</f>
        <v>фото</v>
      </c>
      <c r="C518" s="38"/>
      <c r="D518" s="38"/>
      <c r="E518" s="39"/>
      <c r="F518" s="39" t="s">
        <v>660</v>
      </c>
      <c r="G518" s="44">
        <v>0.5</v>
      </c>
      <c r="H518" s="39" t="s">
        <v>101</v>
      </c>
      <c r="I518" s="39" t="s">
        <v>102</v>
      </c>
      <c r="J518" s="41">
        <v>2000</v>
      </c>
      <c r="K518" s="42">
        <v>15.6</v>
      </c>
      <c r="L518" s="43"/>
      <c r="M518" s="43">
        <f>L518*K518</f>
        <v>0</v>
      </c>
      <c r="N518" s="35">
        <v>4607015181388</v>
      </c>
    </row>
    <row r="519" spans="1:14" ht="24" customHeight="1" outlineLevel="3" x14ac:dyDescent="0.2">
      <c r="A519" s="45">
        <v>16202</v>
      </c>
      <c r="B519" s="37" t="str">
        <f>HYPERLINK("http://sedek.ru/upload/iblock/ae9/kapusta_venskaya_belaya_1350.jpg","фото")</f>
        <v>фото</v>
      </c>
      <c r="C519" s="38"/>
      <c r="D519" s="38"/>
      <c r="E519" s="39"/>
      <c r="F519" s="39" t="s">
        <v>661</v>
      </c>
      <c r="G519" s="44">
        <v>0.5</v>
      </c>
      <c r="H519" s="39" t="s">
        <v>101</v>
      </c>
      <c r="I519" s="39" t="s">
        <v>287</v>
      </c>
      <c r="J519" s="41">
        <v>2000</v>
      </c>
      <c r="K519" s="42">
        <v>6.5</v>
      </c>
      <c r="L519" s="43"/>
      <c r="M519" s="43">
        <f>L519*K519</f>
        <v>0</v>
      </c>
      <c r="N519" s="35">
        <v>4690368004954</v>
      </c>
    </row>
    <row r="520" spans="1:14" ht="24" customHeight="1" outlineLevel="3" x14ac:dyDescent="0.2">
      <c r="A520" s="45">
        <v>15878</v>
      </c>
      <c r="B520" s="37" t="str">
        <f>HYPERLINK("http://sedek.ru/upload/iblock/c6a/kapusta_vertus.jpg","фото")</f>
        <v>фото</v>
      </c>
      <c r="C520" s="38"/>
      <c r="D520" s="38"/>
      <c r="E520" s="39"/>
      <c r="F520" s="39" t="s">
        <v>662</v>
      </c>
      <c r="G520" s="40">
        <v>1</v>
      </c>
      <c r="H520" s="39" t="s">
        <v>101</v>
      </c>
      <c r="I520" s="39" t="s">
        <v>102</v>
      </c>
      <c r="J520" s="41">
        <v>1000</v>
      </c>
      <c r="K520" s="42">
        <v>20.5</v>
      </c>
      <c r="L520" s="43"/>
      <c r="M520" s="43">
        <f>L520*K520</f>
        <v>0</v>
      </c>
      <c r="N520" s="35">
        <v>4607015181401</v>
      </c>
    </row>
    <row r="521" spans="1:14" ht="24" customHeight="1" outlineLevel="3" x14ac:dyDescent="0.2">
      <c r="A521" s="45">
        <v>15878</v>
      </c>
      <c r="B521" s="37" t="str">
        <f>HYPERLINK("http://sedek.ru/upload/iblock/c6a/kapusta_vertus.jpg","фото")</f>
        <v>фото</v>
      </c>
      <c r="C521" s="38"/>
      <c r="D521" s="38"/>
      <c r="E521" s="39"/>
      <c r="F521" s="39" t="s">
        <v>663</v>
      </c>
      <c r="G521" s="40">
        <v>1</v>
      </c>
      <c r="H521" s="39" t="s">
        <v>101</v>
      </c>
      <c r="I521" s="39" t="s">
        <v>287</v>
      </c>
      <c r="J521" s="41">
        <v>1000</v>
      </c>
      <c r="K521" s="42">
        <v>7</v>
      </c>
      <c r="L521" s="43"/>
      <c r="M521" s="43">
        <f>L521*K521</f>
        <v>0</v>
      </c>
      <c r="N521" s="35">
        <v>4607149407156</v>
      </c>
    </row>
    <row r="522" spans="1:14" ht="24" customHeight="1" outlineLevel="3" x14ac:dyDescent="0.2">
      <c r="A522" s="45">
        <v>16461</v>
      </c>
      <c r="B522" s="37" t="str">
        <f>HYPERLINK("http://sedek.ru/upload/iblock/36b/kapusta_veselaya_kompaniya.jpg","фото")</f>
        <v>фото</v>
      </c>
      <c r="C522" s="38"/>
      <c r="D522" s="38"/>
      <c r="E522" s="39"/>
      <c r="F522" s="39" t="s">
        <v>664</v>
      </c>
      <c r="G522" s="44">
        <v>0.3</v>
      </c>
      <c r="H522" s="39" t="s">
        <v>101</v>
      </c>
      <c r="I522" s="39" t="s">
        <v>102</v>
      </c>
      <c r="J522" s="41">
        <v>2000</v>
      </c>
      <c r="K522" s="42">
        <v>20.5</v>
      </c>
      <c r="L522" s="43"/>
      <c r="M522" s="43">
        <f>L522*K522</f>
        <v>0</v>
      </c>
      <c r="N522" s="35">
        <v>4690368010900</v>
      </c>
    </row>
    <row r="523" spans="1:14" ht="24" customHeight="1" outlineLevel="3" x14ac:dyDescent="0.2">
      <c r="A523" s="45">
        <v>16461</v>
      </c>
      <c r="B523" s="37" t="str">
        <f>HYPERLINK("http://sedek.ru/upload/iblock/36b/kapusta_veselaya_kompaniya.jpg","фото")</f>
        <v>фото</v>
      </c>
      <c r="C523" s="38"/>
      <c r="D523" s="38"/>
      <c r="E523" s="39"/>
      <c r="F523" s="39" t="s">
        <v>665</v>
      </c>
      <c r="G523" s="44">
        <v>0.3</v>
      </c>
      <c r="H523" s="39" t="s">
        <v>101</v>
      </c>
      <c r="I523" s="39" t="s">
        <v>287</v>
      </c>
      <c r="J523" s="41">
        <v>2000</v>
      </c>
      <c r="K523" s="42">
        <v>7</v>
      </c>
      <c r="L523" s="43"/>
      <c r="M523" s="43">
        <f>L523*K523</f>
        <v>0</v>
      </c>
      <c r="N523" s="35">
        <v>4690368019507</v>
      </c>
    </row>
    <row r="524" spans="1:14" ht="24" customHeight="1" outlineLevel="3" x14ac:dyDescent="0.2">
      <c r="A524" s="45">
        <v>16434</v>
      </c>
      <c r="B524" s="37" t="str">
        <f>HYPERLINK("http://sedek.ru/upload/iblock/024/kapusta_vesenniy_nefrit_f1.jpg","фото")</f>
        <v>фото</v>
      </c>
      <c r="C524" s="38"/>
      <c r="D524" s="38"/>
      <c r="E524" s="39"/>
      <c r="F524" s="39" t="s">
        <v>666</v>
      </c>
      <c r="G524" s="44">
        <v>0.3</v>
      </c>
      <c r="H524" s="39" t="s">
        <v>101</v>
      </c>
      <c r="I524" s="39" t="s">
        <v>102</v>
      </c>
      <c r="J524" s="41">
        <v>2000</v>
      </c>
      <c r="K524" s="42">
        <v>24.1</v>
      </c>
      <c r="L524" s="43"/>
      <c r="M524" s="43">
        <f>L524*K524</f>
        <v>0</v>
      </c>
      <c r="N524" s="35">
        <v>4607116267226</v>
      </c>
    </row>
    <row r="525" spans="1:14" ht="24" customHeight="1" outlineLevel="3" x14ac:dyDescent="0.2">
      <c r="A525" s="45">
        <v>14378</v>
      </c>
      <c r="B525" s="37" t="str">
        <f>HYPERLINK("http://sedek.ru/upload/iblock/3fc/kapusta_vesennyaya_krasavitsa.jpg","фото")</f>
        <v>фото</v>
      </c>
      <c r="C525" s="38"/>
      <c r="D525" s="38"/>
      <c r="E525" s="39"/>
      <c r="F525" s="39" t="s">
        <v>667</v>
      </c>
      <c r="G525" s="44">
        <v>0.3</v>
      </c>
      <c r="H525" s="39" t="s">
        <v>101</v>
      </c>
      <c r="I525" s="39" t="s">
        <v>102</v>
      </c>
      <c r="J525" s="41">
        <v>2000</v>
      </c>
      <c r="K525" s="42">
        <v>20.5</v>
      </c>
      <c r="L525" s="43"/>
      <c r="M525" s="43">
        <f>L525*K525</f>
        <v>0</v>
      </c>
      <c r="N525" s="35">
        <v>4690368008105</v>
      </c>
    </row>
    <row r="526" spans="1:14" ht="24" customHeight="1" outlineLevel="3" x14ac:dyDescent="0.2">
      <c r="A526" s="45">
        <v>15949</v>
      </c>
      <c r="B526" s="37" t="str">
        <f>HYPERLINK("http://sedek.ru/upload/iblock/c98/kapusta_vzryv_f1.jpg","фото")</f>
        <v>фото</v>
      </c>
      <c r="C526" s="38"/>
      <c r="D526" s="38"/>
      <c r="E526" s="39"/>
      <c r="F526" s="39" t="s">
        <v>668</v>
      </c>
      <c r="G526" s="44">
        <v>0.1</v>
      </c>
      <c r="H526" s="39"/>
      <c r="I526" s="39" t="s">
        <v>102</v>
      </c>
      <c r="J526" s="41">
        <v>2000</v>
      </c>
      <c r="K526" s="42">
        <v>26.3</v>
      </c>
      <c r="L526" s="43"/>
      <c r="M526" s="43">
        <f>L526*K526</f>
        <v>0</v>
      </c>
      <c r="N526" s="35">
        <v>4607015181425</v>
      </c>
    </row>
    <row r="527" spans="1:14" ht="24" customHeight="1" outlineLevel="3" x14ac:dyDescent="0.2">
      <c r="A527" s="45">
        <v>16031</v>
      </c>
      <c r="B527" s="37" t="str">
        <f>HYPERLINK("http://www.sedek.ru/upload/iblock/24d/kapusta_violeta_kolrabi.jpg","фото")</f>
        <v>фото</v>
      </c>
      <c r="C527" s="38"/>
      <c r="D527" s="38"/>
      <c r="E527" s="39"/>
      <c r="F527" s="39" t="s">
        <v>669</v>
      </c>
      <c r="G527" s="40">
        <v>1</v>
      </c>
      <c r="H527" s="39" t="s">
        <v>101</v>
      </c>
      <c r="I527" s="39" t="s">
        <v>102</v>
      </c>
      <c r="J527" s="41">
        <v>1000</v>
      </c>
      <c r="K527" s="42">
        <v>19.5</v>
      </c>
      <c r="L527" s="43"/>
      <c r="M527" s="43">
        <f>L527*K527</f>
        <v>0</v>
      </c>
      <c r="N527" s="35">
        <v>4607149401536</v>
      </c>
    </row>
    <row r="528" spans="1:14" ht="24" customHeight="1" outlineLevel="3" x14ac:dyDescent="0.2">
      <c r="A528" s="45">
        <v>14790</v>
      </c>
      <c r="B528" s="37" t="str">
        <f>HYPERLINK("http://sedek.ru/upload/iblock/bbe/kapusta_vnuchka_f1.jpg","фото")</f>
        <v>фото</v>
      </c>
      <c r="C528" s="38"/>
      <c r="D528" s="38"/>
      <c r="E528" s="39"/>
      <c r="F528" s="39" t="s">
        <v>670</v>
      </c>
      <c r="G528" s="44">
        <v>0.3</v>
      </c>
      <c r="H528" s="39" t="s">
        <v>101</v>
      </c>
      <c r="I528" s="39" t="s">
        <v>102</v>
      </c>
      <c r="J528" s="41">
        <v>2000</v>
      </c>
      <c r="K528" s="42">
        <v>22.7</v>
      </c>
      <c r="L528" s="43"/>
      <c r="M528" s="43">
        <f>L528*K528</f>
        <v>0</v>
      </c>
      <c r="N528" s="35">
        <v>4607149404506</v>
      </c>
    </row>
    <row r="529" spans="1:14" ht="24" customHeight="1" outlineLevel="3" x14ac:dyDescent="0.2">
      <c r="A529" s="45">
        <v>14416</v>
      </c>
      <c r="B529" s="37" t="str">
        <f>HYPERLINK("http://www.sedek.ru/upload/iblock/c4f/kapusta_vostochnyy_ekspress_f1_b_k.jpg","фото")</f>
        <v>фото</v>
      </c>
      <c r="C529" s="38"/>
      <c r="D529" s="38"/>
      <c r="E529" s="39"/>
      <c r="F529" s="39" t="s">
        <v>671</v>
      </c>
      <c r="G529" s="54">
        <v>0.05</v>
      </c>
      <c r="H529" s="39" t="s">
        <v>101</v>
      </c>
      <c r="I529" s="39" t="s">
        <v>102</v>
      </c>
      <c r="J529" s="41">
        <v>5000</v>
      </c>
      <c r="K529" s="42">
        <v>33.4</v>
      </c>
      <c r="L529" s="43"/>
      <c r="M529" s="43">
        <f>L529*K529</f>
        <v>0</v>
      </c>
      <c r="N529" s="35">
        <v>4690368014281</v>
      </c>
    </row>
    <row r="530" spans="1:14" ht="24" customHeight="1" outlineLevel="3" x14ac:dyDescent="0.2">
      <c r="A530" s="45">
        <v>16562</v>
      </c>
      <c r="B530" s="37" t="str">
        <f>HYPERLINK("http://sedek.ru/upload/iblock/f09/kapusta_vspyshka_f1.jpg","фото")</f>
        <v>фото</v>
      </c>
      <c r="C530" s="38"/>
      <c r="D530" s="38" t="s">
        <v>266</v>
      </c>
      <c r="E530" s="39"/>
      <c r="F530" s="39" t="s">
        <v>672</v>
      </c>
      <c r="G530" s="44">
        <v>0.1</v>
      </c>
      <c r="H530" s="39"/>
      <c r="I530" s="39" t="s">
        <v>102</v>
      </c>
      <c r="J530" s="41">
        <v>2000</v>
      </c>
      <c r="K530" s="42">
        <v>24.9</v>
      </c>
      <c r="L530" s="43"/>
      <c r="M530" s="43">
        <f>L530*K530</f>
        <v>0</v>
      </c>
      <c r="N530" s="35">
        <v>4607015181449</v>
      </c>
    </row>
    <row r="531" spans="1:14" ht="24" customHeight="1" outlineLevel="3" x14ac:dyDescent="0.2">
      <c r="A531" s="45">
        <v>14067</v>
      </c>
      <c r="B531" s="37" t="str">
        <f>HYPERLINK("http://sedek.ru/upload/iblock/68f/kapusta_vyuga.jpg","фото")</f>
        <v>фото</v>
      </c>
      <c r="C531" s="38"/>
      <c r="D531" s="38"/>
      <c r="E531" s="39"/>
      <c r="F531" s="39" t="s">
        <v>673</v>
      </c>
      <c r="G531" s="44">
        <v>0.5</v>
      </c>
      <c r="H531" s="39" t="s">
        <v>101</v>
      </c>
      <c r="I531" s="39" t="s">
        <v>102</v>
      </c>
      <c r="J531" s="41">
        <v>2000</v>
      </c>
      <c r="K531" s="42">
        <v>20</v>
      </c>
      <c r="L531" s="43"/>
      <c r="M531" s="43">
        <f>L531*K531</f>
        <v>0</v>
      </c>
      <c r="N531" s="35">
        <v>4607015181463</v>
      </c>
    </row>
    <row r="532" spans="1:14" ht="24" customHeight="1" outlineLevel="3" x14ac:dyDescent="0.2">
      <c r="A532" s="45">
        <v>14067</v>
      </c>
      <c r="B532" s="37" t="str">
        <f>HYPERLINK("http://sedek.ru/upload/iblock/68f/kapusta_vyuga.jpg","фото")</f>
        <v>фото</v>
      </c>
      <c r="C532" s="38"/>
      <c r="D532" s="38"/>
      <c r="E532" s="39"/>
      <c r="F532" s="39" t="s">
        <v>674</v>
      </c>
      <c r="G532" s="44">
        <v>0.5</v>
      </c>
      <c r="H532" s="39" t="s">
        <v>101</v>
      </c>
      <c r="I532" s="39" t="s">
        <v>287</v>
      </c>
      <c r="J532" s="41">
        <v>2000</v>
      </c>
      <c r="K532" s="42">
        <v>7.4</v>
      </c>
      <c r="L532" s="43"/>
      <c r="M532" s="43">
        <f>L532*K532</f>
        <v>0</v>
      </c>
      <c r="N532" s="35">
        <v>4607149407101</v>
      </c>
    </row>
    <row r="533" spans="1:14" ht="24" customHeight="1" outlineLevel="3" x14ac:dyDescent="0.2">
      <c r="A533" s="36" t="s">
        <v>675</v>
      </c>
      <c r="B533" s="37" t="str">
        <f>HYPERLINK("http://www.sedek.ru/upload/iblock/bb3/kapusta_gaaga_f1.jpg ","фото")</f>
        <v>фото</v>
      </c>
      <c r="C533" s="38"/>
      <c r="D533" s="38" t="s">
        <v>266</v>
      </c>
      <c r="E533" s="39"/>
      <c r="F533" s="39" t="s">
        <v>676</v>
      </c>
      <c r="G533" s="54">
        <v>0.05</v>
      </c>
      <c r="H533" s="39" t="s">
        <v>101</v>
      </c>
      <c r="I533" s="39" t="s">
        <v>102</v>
      </c>
      <c r="J533" s="41">
        <v>5000</v>
      </c>
      <c r="K533" s="42">
        <v>33.4</v>
      </c>
      <c r="L533" s="43"/>
      <c r="M533" s="43">
        <f>L533*K533</f>
        <v>0</v>
      </c>
      <c r="N533" s="35">
        <v>4690368031486</v>
      </c>
    </row>
    <row r="534" spans="1:14" ht="24" customHeight="1" outlineLevel="3" x14ac:dyDescent="0.2">
      <c r="A534" s="45">
        <v>15990</v>
      </c>
      <c r="B534" s="37" t="str">
        <f>HYPERLINK("http://www.sedek.ru/upload/iblock/2b5/kapusta_garantiya.jpg","фото")</f>
        <v>фото</v>
      </c>
      <c r="C534" s="38"/>
      <c r="D534" s="38"/>
      <c r="E534" s="39"/>
      <c r="F534" s="39" t="s">
        <v>677</v>
      </c>
      <c r="G534" s="44">
        <v>0.5</v>
      </c>
      <c r="H534" s="39" t="s">
        <v>101</v>
      </c>
      <c r="I534" s="39" t="s">
        <v>102</v>
      </c>
      <c r="J534" s="41">
        <v>2000</v>
      </c>
      <c r="K534" s="42">
        <v>18.8</v>
      </c>
      <c r="L534" s="43"/>
      <c r="M534" s="43">
        <f>L534*K534</f>
        <v>0</v>
      </c>
      <c r="N534" s="35">
        <v>4607015181487</v>
      </c>
    </row>
    <row r="535" spans="1:14" ht="24" customHeight="1" outlineLevel="3" x14ac:dyDescent="0.2">
      <c r="A535" s="45">
        <v>15990</v>
      </c>
      <c r="B535" s="37" t="str">
        <f>HYPERLINK("http://www.sedek.ru/upload/iblock/2b5/kapusta_garantiya.jpg","фото")</f>
        <v>фото</v>
      </c>
      <c r="C535" s="38"/>
      <c r="D535" s="38"/>
      <c r="E535" s="39"/>
      <c r="F535" s="39" t="s">
        <v>678</v>
      </c>
      <c r="G535" s="44">
        <v>0.5</v>
      </c>
      <c r="H535" s="39" t="s">
        <v>101</v>
      </c>
      <c r="I535" s="39" t="s">
        <v>287</v>
      </c>
      <c r="J535" s="41">
        <v>2000</v>
      </c>
      <c r="K535" s="42">
        <v>7</v>
      </c>
      <c r="L535" s="43"/>
      <c r="M535" s="43">
        <f>L535*K535</f>
        <v>0</v>
      </c>
      <c r="N535" s="35">
        <v>4607149408757</v>
      </c>
    </row>
    <row r="536" spans="1:14" ht="24" customHeight="1" outlineLevel="3" x14ac:dyDescent="0.2">
      <c r="A536" s="45">
        <v>13620</v>
      </c>
      <c r="B536" s="37" t="str">
        <f>HYPERLINK("http://sedek.ru/upload/iblock/9cb/kapusta_gigant.jpg","фото")</f>
        <v>фото</v>
      </c>
      <c r="C536" s="38"/>
      <c r="D536" s="38"/>
      <c r="E536" s="39"/>
      <c r="F536" s="39" t="s">
        <v>679</v>
      </c>
      <c r="G536" s="44">
        <v>0.5</v>
      </c>
      <c r="H536" s="39" t="s">
        <v>101</v>
      </c>
      <c r="I536" s="39" t="s">
        <v>102</v>
      </c>
      <c r="J536" s="41">
        <v>2000</v>
      </c>
      <c r="K536" s="42">
        <v>20.5</v>
      </c>
      <c r="L536" s="43"/>
      <c r="M536" s="43">
        <f>L536*K536</f>
        <v>0</v>
      </c>
      <c r="N536" s="35">
        <v>4607149401543</v>
      </c>
    </row>
    <row r="537" spans="1:14" ht="12" customHeight="1" outlineLevel="3" x14ac:dyDescent="0.2">
      <c r="A537" s="36" t="s">
        <v>680</v>
      </c>
      <c r="B537" s="37" t="str">
        <f>HYPERLINK("http://www.sedek.ru/upload/iblock/9a4/kapusta_globa_f1_belokochannaya.jpg","Фото")</f>
        <v>Фото</v>
      </c>
      <c r="C537" s="38"/>
      <c r="D537" s="38"/>
      <c r="E537" s="39"/>
      <c r="F537" s="39" t="s">
        <v>681</v>
      </c>
      <c r="G537" s="54">
        <v>0.05</v>
      </c>
      <c r="H537" s="39" t="s">
        <v>101</v>
      </c>
      <c r="I537" s="39" t="s">
        <v>102</v>
      </c>
      <c r="J537" s="41">
        <v>5000</v>
      </c>
      <c r="K537" s="42">
        <v>33.4</v>
      </c>
      <c r="L537" s="43"/>
      <c r="M537" s="43">
        <f>L537*K537</f>
        <v>0</v>
      </c>
      <c r="N537" s="35">
        <v>4690368030229</v>
      </c>
    </row>
    <row r="538" spans="1:14" ht="24" customHeight="1" outlineLevel="3" x14ac:dyDescent="0.2">
      <c r="A538" s="45">
        <v>14274</v>
      </c>
      <c r="B538" s="37" t="str">
        <f>HYPERLINK("http://sedek.ru/upload/iblock/d16/kapusta_gnom.jpg","фото")</f>
        <v>фото</v>
      </c>
      <c r="C538" s="38"/>
      <c r="D538" s="38"/>
      <c r="E538" s="39"/>
      <c r="F538" s="39" t="s">
        <v>682</v>
      </c>
      <c r="G538" s="44">
        <v>0.5</v>
      </c>
      <c r="H538" s="39" t="s">
        <v>101</v>
      </c>
      <c r="I538" s="39" t="s">
        <v>102</v>
      </c>
      <c r="J538" s="41">
        <v>2000</v>
      </c>
      <c r="K538" s="42">
        <v>22.6</v>
      </c>
      <c r="L538" s="43"/>
      <c r="M538" s="43">
        <f>L538*K538</f>
        <v>0</v>
      </c>
      <c r="N538" s="35">
        <v>4607015181524</v>
      </c>
    </row>
    <row r="539" spans="1:14" ht="24" customHeight="1" outlineLevel="3" x14ac:dyDescent="0.2">
      <c r="A539" s="45">
        <v>14274</v>
      </c>
      <c r="B539" s="37" t="str">
        <f>HYPERLINK("http://sedek.ru/upload/iblock/d16/kapusta_gnom.jpg","фото")</f>
        <v>фото</v>
      </c>
      <c r="C539" s="38"/>
      <c r="D539" s="38"/>
      <c r="E539" s="39"/>
      <c r="F539" s="39" t="s">
        <v>683</v>
      </c>
      <c r="G539" s="44">
        <v>0.5</v>
      </c>
      <c r="H539" s="39" t="s">
        <v>101</v>
      </c>
      <c r="I539" s="39" t="s">
        <v>287</v>
      </c>
      <c r="J539" s="41">
        <v>2000</v>
      </c>
      <c r="K539" s="42">
        <v>8.9</v>
      </c>
      <c r="L539" s="43"/>
      <c r="M539" s="43">
        <f>L539*K539</f>
        <v>0</v>
      </c>
      <c r="N539" s="35">
        <v>4690368004961</v>
      </c>
    </row>
    <row r="540" spans="1:14" ht="24" customHeight="1" outlineLevel="3" x14ac:dyDescent="0.2">
      <c r="A540" s="45">
        <v>14854</v>
      </c>
      <c r="B540" s="37" t="str">
        <f>HYPERLINK("http://sedek.ru/upload/iblock/dd7/kapusta_goluba_f1.jpg","фото")</f>
        <v>фото</v>
      </c>
      <c r="C540" s="38"/>
      <c r="D540" s="38" t="s">
        <v>266</v>
      </c>
      <c r="E540" s="39"/>
      <c r="F540" s="39" t="s">
        <v>684</v>
      </c>
      <c r="G540" s="44">
        <v>0.3</v>
      </c>
      <c r="H540" s="39" t="s">
        <v>101</v>
      </c>
      <c r="I540" s="39" t="s">
        <v>102</v>
      </c>
      <c r="J540" s="41">
        <v>2000</v>
      </c>
      <c r="K540" s="42">
        <v>20.5</v>
      </c>
      <c r="L540" s="43"/>
      <c r="M540" s="43">
        <f>L540*K540</f>
        <v>0</v>
      </c>
      <c r="N540" s="35">
        <v>4607149404322</v>
      </c>
    </row>
    <row r="541" spans="1:14" ht="24" customHeight="1" outlineLevel="3" x14ac:dyDescent="0.2">
      <c r="A541" s="45">
        <v>15599</v>
      </c>
      <c r="B541" s="37" t="str">
        <f>HYPERLINK("http://sedek.ru/upload/iblock/d07/kapusta_golubaya_planeta_f1.jpg","фото")</f>
        <v>фото</v>
      </c>
      <c r="C541" s="38"/>
      <c r="D541" s="38"/>
      <c r="E541" s="39"/>
      <c r="F541" s="39" t="s">
        <v>685</v>
      </c>
      <c r="G541" s="40">
        <v>1</v>
      </c>
      <c r="H541" s="39" t="s">
        <v>101</v>
      </c>
      <c r="I541" s="39" t="s">
        <v>102</v>
      </c>
      <c r="J541" s="41">
        <v>1000</v>
      </c>
      <c r="K541" s="42">
        <v>20.5</v>
      </c>
      <c r="L541" s="43"/>
      <c r="M541" s="43">
        <f>L541*K541</f>
        <v>0</v>
      </c>
      <c r="N541" s="35">
        <v>4607015181548</v>
      </c>
    </row>
    <row r="542" spans="1:14" ht="24" customHeight="1" outlineLevel="3" x14ac:dyDescent="0.2">
      <c r="A542" s="45">
        <v>15599</v>
      </c>
      <c r="B542" s="37" t="str">
        <f>HYPERLINK("http://sedek.ru/upload/iblock/d07/kapusta_golubaya_planeta_f1.jpg","фото")</f>
        <v>фото</v>
      </c>
      <c r="C542" s="38"/>
      <c r="D542" s="38"/>
      <c r="E542" s="39"/>
      <c r="F542" s="39" t="s">
        <v>686</v>
      </c>
      <c r="G542" s="40">
        <v>1</v>
      </c>
      <c r="H542" s="39" t="s">
        <v>101</v>
      </c>
      <c r="I542" s="39" t="s">
        <v>287</v>
      </c>
      <c r="J542" s="41">
        <v>1000</v>
      </c>
      <c r="K542" s="42">
        <v>7</v>
      </c>
      <c r="L542" s="43"/>
      <c r="M542" s="43">
        <f>L542*K542</f>
        <v>0</v>
      </c>
      <c r="N542" s="35">
        <v>4690368000895</v>
      </c>
    </row>
    <row r="543" spans="1:14" ht="24" customHeight="1" outlineLevel="3" x14ac:dyDescent="0.2">
      <c r="A543" s="45">
        <v>14144</v>
      </c>
      <c r="B543" s="37" t="str">
        <f>HYPERLINK("http://sedek.ru/upload/iblock/cf5/kapusta_delikatesnaya_krasnaya.jpg","фото")</f>
        <v>фото</v>
      </c>
      <c r="C543" s="38"/>
      <c r="D543" s="38"/>
      <c r="E543" s="39"/>
      <c r="F543" s="39" t="s">
        <v>687</v>
      </c>
      <c r="G543" s="40">
        <v>1</v>
      </c>
      <c r="H543" s="39" t="s">
        <v>101</v>
      </c>
      <c r="I543" s="39" t="s">
        <v>102</v>
      </c>
      <c r="J543" s="41">
        <v>1000</v>
      </c>
      <c r="K543" s="42">
        <v>20.5</v>
      </c>
      <c r="L543" s="43"/>
      <c r="M543" s="43">
        <f>L543*K543</f>
        <v>0</v>
      </c>
      <c r="N543" s="35">
        <v>4607015181623</v>
      </c>
    </row>
    <row r="544" spans="1:14" ht="36" customHeight="1" outlineLevel="3" x14ac:dyDescent="0.2">
      <c r="A544" s="45">
        <v>13628</v>
      </c>
      <c r="B544" s="37" t="str">
        <f>HYPERLINK("http://sedek.ru/upload/iblock/371/kapusta_delikatesnoe_zastole_f1.jpg","фото")</f>
        <v>фото</v>
      </c>
      <c r="C544" s="38"/>
      <c r="D544" s="38"/>
      <c r="E544" s="39"/>
      <c r="F544" s="39" t="s">
        <v>688</v>
      </c>
      <c r="G544" s="44">
        <v>0.3</v>
      </c>
      <c r="H544" s="39" t="s">
        <v>101</v>
      </c>
      <c r="I544" s="39" t="s">
        <v>102</v>
      </c>
      <c r="J544" s="41">
        <v>2000</v>
      </c>
      <c r="K544" s="42">
        <v>20.5</v>
      </c>
      <c r="L544" s="43"/>
      <c r="M544" s="43">
        <f>L544*K544</f>
        <v>0</v>
      </c>
      <c r="N544" s="35">
        <v>4690368005739</v>
      </c>
    </row>
    <row r="545" spans="1:14" ht="24" customHeight="1" outlineLevel="3" x14ac:dyDescent="0.2">
      <c r="A545" s="36" t="s">
        <v>689</v>
      </c>
      <c r="B545" s="37" t="str">
        <f>HYPERLINK("http://www.sedek.ru/upload/iblock/7a9/kapusta_diana_f1_tsvetnaya.jpg","Фото")</f>
        <v>Фото</v>
      </c>
      <c r="C545" s="38"/>
      <c r="D545" s="38"/>
      <c r="E545" s="39"/>
      <c r="F545" s="39" t="s">
        <v>690</v>
      </c>
      <c r="G545" s="54">
        <v>0.05</v>
      </c>
      <c r="H545" s="39" t="s">
        <v>101</v>
      </c>
      <c r="I545" s="39" t="s">
        <v>102</v>
      </c>
      <c r="J545" s="41">
        <v>5000</v>
      </c>
      <c r="K545" s="42">
        <v>33.4</v>
      </c>
      <c r="L545" s="43"/>
      <c r="M545" s="43">
        <f>L545*K545</f>
        <v>0</v>
      </c>
      <c r="N545" s="35">
        <v>4690368030236</v>
      </c>
    </row>
    <row r="546" spans="1:14" ht="24" customHeight="1" outlineLevel="3" x14ac:dyDescent="0.2">
      <c r="A546" s="45">
        <v>14211</v>
      </c>
      <c r="B546" s="37" t="str">
        <f>HYPERLINK("http://sedek.ru/upload/iblock/8b5/kapusta_dochka_f1.jpg","фото")</f>
        <v>фото</v>
      </c>
      <c r="C546" s="38"/>
      <c r="D546" s="38"/>
      <c r="E546" s="39"/>
      <c r="F546" s="39" t="s">
        <v>691</v>
      </c>
      <c r="G546" s="44">
        <v>0.3</v>
      </c>
      <c r="H546" s="39" t="s">
        <v>101</v>
      </c>
      <c r="I546" s="39" t="s">
        <v>102</v>
      </c>
      <c r="J546" s="41">
        <v>2000</v>
      </c>
      <c r="K546" s="42">
        <v>23.9</v>
      </c>
      <c r="L546" s="43"/>
      <c r="M546" s="43">
        <f>L546*K546</f>
        <v>0</v>
      </c>
      <c r="N546" s="35">
        <v>4607149404483</v>
      </c>
    </row>
    <row r="547" spans="1:14" ht="24" customHeight="1" outlineLevel="3" x14ac:dyDescent="0.2">
      <c r="A547" s="45">
        <v>14547</v>
      </c>
      <c r="B547" s="37" t="str">
        <f>HYPERLINK("http://sedek.ru/upload/iblock/de8/kapusta_druzhnaya_semeyka.jpg","фото")</f>
        <v>фото</v>
      </c>
      <c r="C547" s="38"/>
      <c r="D547" s="38"/>
      <c r="E547" s="39"/>
      <c r="F547" s="39" t="s">
        <v>692</v>
      </c>
      <c r="G547" s="44">
        <v>0.3</v>
      </c>
      <c r="H547" s="39" t="s">
        <v>101</v>
      </c>
      <c r="I547" s="39" t="s">
        <v>102</v>
      </c>
      <c r="J547" s="41">
        <v>2000</v>
      </c>
      <c r="K547" s="42">
        <v>20.5</v>
      </c>
      <c r="L547" s="43"/>
      <c r="M547" s="43">
        <f>L547*K547</f>
        <v>0</v>
      </c>
      <c r="N547" s="35">
        <v>4607149404513</v>
      </c>
    </row>
    <row r="548" spans="1:14" ht="24" customHeight="1" outlineLevel="3" x14ac:dyDescent="0.2">
      <c r="A548" s="45">
        <v>13839</v>
      </c>
      <c r="B548" s="37" t="str">
        <f>HYPERLINK("http://sedek.ru/upload/iblock/6ed/kapusta_dubler_f1.jpg","фото")</f>
        <v>фото</v>
      </c>
      <c r="C548" s="38"/>
      <c r="D548" s="38"/>
      <c r="E548" s="39"/>
      <c r="F548" s="39" t="s">
        <v>693</v>
      </c>
      <c r="G548" s="44">
        <v>0.1</v>
      </c>
      <c r="H548" s="39" t="s">
        <v>101</v>
      </c>
      <c r="I548" s="39" t="s">
        <v>102</v>
      </c>
      <c r="J548" s="41">
        <v>2500</v>
      </c>
      <c r="K548" s="42">
        <v>32.1</v>
      </c>
      <c r="L548" s="43"/>
      <c r="M548" s="43">
        <f>L548*K548</f>
        <v>0</v>
      </c>
      <c r="N548" s="35">
        <v>4690368022460</v>
      </c>
    </row>
    <row r="549" spans="1:14" ht="24" customHeight="1" outlineLevel="3" x14ac:dyDescent="0.2">
      <c r="A549" s="45">
        <v>14556</v>
      </c>
      <c r="B549" s="37" t="str">
        <f>HYPERLINK("http://sedek.ru/upload/iblock/482/kapusta_dyuma_f1.jpg","фото")</f>
        <v>фото</v>
      </c>
      <c r="C549" s="38"/>
      <c r="D549" s="38"/>
      <c r="E549" s="39"/>
      <c r="F549" s="39" t="s">
        <v>694</v>
      </c>
      <c r="G549" s="54">
        <v>0.05</v>
      </c>
      <c r="H549" s="39" t="s">
        <v>101</v>
      </c>
      <c r="I549" s="39" t="s">
        <v>102</v>
      </c>
      <c r="J549" s="41">
        <v>5000</v>
      </c>
      <c r="K549" s="42">
        <v>45.5</v>
      </c>
      <c r="L549" s="43"/>
      <c r="M549" s="43">
        <f>L549*K549</f>
        <v>0</v>
      </c>
      <c r="N549" s="35">
        <v>4607015181685</v>
      </c>
    </row>
    <row r="550" spans="1:14" ht="24" customHeight="1" outlineLevel="3" x14ac:dyDescent="0.2">
      <c r="A550" s="45">
        <v>13888</v>
      </c>
      <c r="B550" s="37" t="str">
        <f>HYPERLINK("http://sedek.ru/upload/iblock/b73/kapusta_zheneva_f1.jpg","фото")</f>
        <v>фото</v>
      </c>
      <c r="C550" s="38"/>
      <c r="D550" s="38"/>
      <c r="E550" s="39"/>
      <c r="F550" s="39" t="s">
        <v>695</v>
      </c>
      <c r="G550" s="54">
        <v>0.05</v>
      </c>
      <c r="H550" s="39" t="s">
        <v>101</v>
      </c>
      <c r="I550" s="39" t="s">
        <v>102</v>
      </c>
      <c r="J550" s="41">
        <v>5000</v>
      </c>
      <c r="K550" s="42">
        <v>45.5</v>
      </c>
      <c r="L550" s="43"/>
      <c r="M550" s="43">
        <f>L550*K550</f>
        <v>0</v>
      </c>
      <c r="N550" s="35">
        <v>4607015181722</v>
      </c>
    </row>
    <row r="551" spans="1:14" ht="24" customHeight="1" outlineLevel="3" x14ac:dyDescent="0.2">
      <c r="A551" s="45">
        <v>14864</v>
      </c>
      <c r="B551" s="37" t="str">
        <f>HYPERLINK("http://sedek.ru/upload/iblock/40d/kapusta_zalp_f1.jpg","фото")</f>
        <v>фото</v>
      </c>
      <c r="C551" s="38"/>
      <c r="D551" s="38"/>
      <c r="E551" s="39"/>
      <c r="F551" s="39" t="s">
        <v>696</v>
      </c>
      <c r="G551" s="44">
        <v>0.3</v>
      </c>
      <c r="H551" s="39" t="s">
        <v>101</v>
      </c>
      <c r="I551" s="39" t="s">
        <v>102</v>
      </c>
      <c r="J551" s="41">
        <v>2000</v>
      </c>
      <c r="K551" s="42">
        <v>22.7</v>
      </c>
      <c r="L551" s="43"/>
      <c r="M551" s="43">
        <f>L551*K551</f>
        <v>0</v>
      </c>
      <c r="N551" s="35">
        <v>4607015181760</v>
      </c>
    </row>
    <row r="552" spans="1:14" ht="24" customHeight="1" outlineLevel="3" x14ac:dyDescent="0.2">
      <c r="A552" s="45">
        <v>14864</v>
      </c>
      <c r="B552" s="37" t="str">
        <f>HYPERLINK("http://sedek.ru/upload/iblock/40d/kapusta_zalp_f1.jpg","фото")</f>
        <v>фото</v>
      </c>
      <c r="C552" s="38"/>
      <c r="D552" s="38"/>
      <c r="E552" s="39"/>
      <c r="F552" s="39" t="s">
        <v>697</v>
      </c>
      <c r="G552" s="44">
        <v>0.3</v>
      </c>
      <c r="H552" s="39" t="s">
        <v>101</v>
      </c>
      <c r="I552" s="39" t="s">
        <v>287</v>
      </c>
      <c r="J552" s="41">
        <v>2000</v>
      </c>
      <c r="K552" s="42">
        <v>10.8</v>
      </c>
      <c r="L552" s="43"/>
      <c r="M552" s="43">
        <f>L552*K552</f>
        <v>0</v>
      </c>
      <c r="N552" s="35">
        <v>4607149402274</v>
      </c>
    </row>
    <row r="553" spans="1:14" ht="24" customHeight="1" outlineLevel="3" x14ac:dyDescent="0.2">
      <c r="A553" s="36" t="s">
        <v>698</v>
      </c>
      <c r="B553" s="37" t="str">
        <f>HYPERLINK("http://www.sedek.ru/upload/iblock/5db/kapusta_zevs_f1_krasnokochannaya.jpg","Фото")</f>
        <v>Фото</v>
      </c>
      <c r="C553" s="38"/>
      <c r="D553" s="38"/>
      <c r="E553" s="39"/>
      <c r="F553" s="39" t="s">
        <v>699</v>
      </c>
      <c r="G553" s="54">
        <v>0.05</v>
      </c>
      <c r="H553" s="39" t="s">
        <v>101</v>
      </c>
      <c r="I553" s="39" t="s">
        <v>102</v>
      </c>
      <c r="J553" s="41">
        <v>5000</v>
      </c>
      <c r="K553" s="42">
        <v>33.4</v>
      </c>
      <c r="L553" s="43"/>
      <c r="M553" s="43">
        <f>L553*K553</f>
        <v>0</v>
      </c>
      <c r="N553" s="35">
        <v>4690368030328</v>
      </c>
    </row>
    <row r="554" spans="1:14" ht="24" customHeight="1" outlineLevel="3" x14ac:dyDescent="0.2">
      <c r="A554" s="45">
        <v>13973</v>
      </c>
      <c r="B554" s="37" t="str">
        <f>HYPERLINK("http://sedek.ru/upload/iblock/f22/kapusta_zefir_f1.jpg","фото")</f>
        <v>фото</v>
      </c>
      <c r="C554" s="38"/>
      <c r="D554" s="38"/>
      <c r="E554" s="39"/>
      <c r="F554" s="39" t="s">
        <v>700</v>
      </c>
      <c r="G554" s="44">
        <v>0.3</v>
      </c>
      <c r="H554" s="39" t="s">
        <v>101</v>
      </c>
      <c r="I554" s="39" t="s">
        <v>287</v>
      </c>
      <c r="J554" s="41">
        <v>2000</v>
      </c>
      <c r="K554" s="42">
        <v>10.3</v>
      </c>
      <c r="L554" s="43"/>
      <c r="M554" s="43">
        <f>L554*K554</f>
        <v>0</v>
      </c>
      <c r="N554" s="35">
        <v>4690368000918</v>
      </c>
    </row>
    <row r="555" spans="1:14" ht="24" customHeight="1" outlineLevel="3" x14ac:dyDescent="0.2">
      <c r="A555" s="45">
        <v>13533</v>
      </c>
      <c r="B555" s="37" t="str">
        <f>HYPERLINK("http://sedek.ru/upload/resize_cache/iblock/a8f/360_9999_140cd750bba9870f18aada2478b24840a/kapusta_zima_f1.jpg","фото")</f>
        <v>фото</v>
      </c>
      <c r="C555" s="38"/>
      <c r="D555" s="38"/>
      <c r="E555" s="39"/>
      <c r="F555" s="39" t="s">
        <v>701</v>
      </c>
      <c r="G555" s="44">
        <v>0.1</v>
      </c>
      <c r="H555" s="39" t="s">
        <v>101</v>
      </c>
      <c r="I555" s="39" t="s">
        <v>102</v>
      </c>
      <c r="J555" s="41">
        <v>2500</v>
      </c>
      <c r="K555" s="42">
        <v>49.9</v>
      </c>
      <c r="L555" s="43"/>
      <c r="M555" s="43">
        <f>L555*K555</f>
        <v>0</v>
      </c>
      <c r="N555" s="35">
        <v>4690368009331</v>
      </c>
    </row>
    <row r="556" spans="1:14" ht="24" customHeight="1" outlineLevel="3" x14ac:dyDescent="0.2">
      <c r="A556" s="45">
        <v>14712</v>
      </c>
      <c r="B556" s="37" t="str">
        <f>HYPERLINK("http://sedek.ru/upload/iblock/801/kapusta_zimniy_delikates.jpg","фото")</f>
        <v>фото</v>
      </c>
      <c r="C556" s="38"/>
      <c r="D556" s="38"/>
      <c r="E556" s="39"/>
      <c r="F556" s="39" t="s">
        <v>702</v>
      </c>
      <c r="G556" s="40">
        <v>1</v>
      </c>
      <c r="H556" s="39" t="s">
        <v>101</v>
      </c>
      <c r="I556" s="39" t="s">
        <v>102</v>
      </c>
      <c r="J556" s="41">
        <v>1000</v>
      </c>
      <c r="K556" s="42">
        <v>20.5</v>
      </c>
      <c r="L556" s="43"/>
      <c r="M556" s="43">
        <f>L556*K556</f>
        <v>0</v>
      </c>
      <c r="N556" s="35">
        <v>4690368012782</v>
      </c>
    </row>
    <row r="557" spans="1:14" ht="24" customHeight="1" outlineLevel="3" x14ac:dyDescent="0.2">
      <c r="A557" s="45">
        <v>14712</v>
      </c>
      <c r="B557" s="37" t="str">
        <f>HYPERLINK("http://sedek.ru/upload/iblock/801/kapusta_zimniy_delikates.jpg","фото")</f>
        <v>фото</v>
      </c>
      <c r="C557" s="38"/>
      <c r="D557" s="38"/>
      <c r="E557" s="39"/>
      <c r="F557" s="39" t="s">
        <v>703</v>
      </c>
      <c r="G557" s="40">
        <v>1</v>
      </c>
      <c r="H557" s="39" t="s">
        <v>101</v>
      </c>
      <c r="I557" s="39" t="s">
        <v>287</v>
      </c>
      <c r="J557" s="41">
        <v>1000</v>
      </c>
      <c r="K557" s="42">
        <v>7.3</v>
      </c>
      <c r="L557" s="43"/>
      <c r="M557" s="43">
        <f>L557*K557</f>
        <v>0</v>
      </c>
      <c r="N557" s="35">
        <v>4690368019514</v>
      </c>
    </row>
    <row r="558" spans="1:14" ht="24" customHeight="1" outlineLevel="3" x14ac:dyDescent="0.2">
      <c r="A558" s="45">
        <v>14892</v>
      </c>
      <c r="B558" s="37" t="str">
        <f>HYPERLINK("http://sedek.ru/upload/iblock/d80/kapusta_zimnyaya_golova_f1.jpg","фото")</f>
        <v>фото</v>
      </c>
      <c r="C558" s="38"/>
      <c r="D558" s="38"/>
      <c r="E558" s="39"/>
      <c r="F558" s="39" t="s">
        <v>704</v>
      </c>
      <c r="G558" s="44">
        <v>0.1</v>
      </c>
      <c r="H558" s="39" t="s">
        <v>101</v>
      </c>
      <c r="I558" s="39" t="s">
        <v>102</v>
      </c>
      <c r="J558" s="41">
        <v>2500</v>
      </c>
      <c r="K558" s="42">
        <v>49.9</v>
      </c>
      <c r="L558" s="43"/>
      <c r="M558" s="43">
        <f>L558*K558</f>
        <v>0</v>
      </c>
      <c r="N558" s="35">
        <v>4690368005746</v>
      </c>
    </row>
    <row r="559" spans="1:14" ht="24" customHeight="1" outlineLevel="3" x14ac:dyDescent="0.2">
      <c r="A559" s="45">
        <v>15313</v>
      </c>
      <c r="B559" s="37" t="str">
        <f>HYPERLINK("http://sedek.ru/upload/iblock/b9c/kapusta_zimovka_1474.jpg","фото")</f>
        <v>фото</v>
      </c>
      <c r="C559" s="38"/>
      <c r="D559" s="38"/>
      <c r="E559" s="39"/>
      <c r="F559" s="39" t="s">
        <v>705</v>
      </c>
      <c r="G559" s="44">
        <v>0.5</v>
      </c>
      <c r="H559" s="39" t="s">
        <v>101</v>
      </c>
      <c r="I559" s="39" t="s">
        <v>102</v>
      </c>
      <c r="J559" s="41">
        <v>2000</v>
      </c>
      <c r="K559" s="42">
        <v>15.6</v>
      </c>
      <c r="L559" s="43"/>
      <c r="M559" s="43">
        <f>L559*K559</f>
        <v>0</v>
      </c>
      <c r="N559" s="35">
        <v>4607015186499</v>
      </c>
    </row>
    <row r="560" spans="1:14" ht="24" customHeight="1" outlineLevel="3" x14ac:dyDescent="0.2">
      <c r="A560" s="45">
        <v>15313</v>
      </c>
      <c r="B560" s="37" t="str">
        <f>HYPERLINK("http://sedek.ru/upload/iblock/b9c/kapusta_zimovka_1474.jpg","фото")</f>
        <v>фото</v>
      </c>
      <c r="C560" s="38"/>
      <c r="D560" s="38"/>
      <c r="E560" s="39"/>
      <c r="F560" s="39" t="s">
        <v>706</v>
      </c>
      <c r="G560" s="44">
        <v>0.5</v>
      </c>
      <c r="H560" s="39" t="s">
        <v>101</v>
      </c>
      <c r="I560" s="39" t="s">
        <v>287</v>
      </c>
      <c r="J560" s="41">
        <v>2000</v>
      </c>
      <c r="K560" s="42">
        <v>6.8</v>
      </c>
      <c r="L560" s="43"/>
      <c r="M560" s="43">
        <f>L560*K560</f>
        <v>0</v>
      </c>
      <c r="N560" s="35">
        <v>4607149407118</v>
      </c>
    </row>
    <row r="561" spans="1:14" ht="24" customHeight="1" outlineLevel="3" x14ac:dyDescent="0.2">
      <c r="A561" s="45">
        <v>15411</v>
      </c>
      <c r="B561" s="37" t="str">
        <f>HYPERLINK("http://www.sedek.ru/upload/iblock/0db/kapusta_zolotoy_gektar.jpg","фото")</f>
        <v>фото</v>
      </c>
      <c r="C561" s="38"/>
      <c r="D561" s="38"/>
      <c r="E561" s="39"/>
      <c r="F561" s="39" t="s">
        <v>707</v>
      </c>
      <c r="G561" s="44">
        <v>0.5</v>
      </c>
      <c r="H561" s="39" t="s">
        <v>101</v>
      </c>
      <c r="I561" s="39" t="s">
        <v>102</v>
      </c>
      <c r="J561" s="41">
        <v>2000</v>
      </c>
      <c r="K561" s="42">
        <v>15.6</v>
      </c>
      <c r="L561" s="43"/>
      <c r="M561" s="43">
        <f>L561*K561</f>
        <v>0</v>
      </c>
      <c r="N561" s="35">
        <v>4607015186505</v>
      </c>
    </row>
    <row r="562" spans="1:14" ht="24" customHeight="1" outlineLevel="3" x14ac:dyDescent="0.2">
      <c r="A562" s="45">
        <v>15411</v>
      </c>
      <c r="B562" s="37" t="str">
        <f>HYPERLINK("http://www.sedek.ru/upload/iblock/0db/kapusta_zolotoy_gektar.jpg","фото")</f>
        <v>фото</v>
      </c>
      <c r="C562" s="38"/>
      <c r="D562" s="38"/>
      <c r="E562" s="39"/>
      <c r="F562" s="39" t="s">
        <v>708</v>
      </c>
      <c r="G562" s="44">
        <v>0.5</v>
      </c>
      <c r="H562" s="39" t="s">
        <v>101</v>
      </c>
      <c r="I562" s="39" t="s">
        <v>287</v>
      </c>
      <c r="J562" s="41">
        <v>2000</v>
      </c>
      <c r="K562" s="42">
        <v>6.8</v>
      </c>
      <c r="L562" s="43"/>
      <c r="M562" s="43">
        <f>L562*K562</f>
        <v>0</v>
      </c>
      <c r="N562" s="35">
        <v>4690368012492</v>
      </c>
    </row>
    <row r="563" spans="1:14" ht="24" customHeight="1" outlineLevel="3" x14ac:dyDescent="0.2">
      <c r="A563" s="45">
        <v>15272</v>
      </c>
      <c r="B563" s="37" t="str">
        <f>HYPERLINK("http://sedek.ru/upload/iblock/379/kapusta_zosya_f1.jpg","фото")</f>
        <v>фото</v>
      </c>
      <c r="C563" s="38"/>
      <c r="D563" s="38"/>
      <c r="E563" s="39"/>
      <c r="F563" s="39" t="s">
        <v>709</v>
      </c>
      <c r="G563" s="44">
        <v>0.3</v>
      </c>
      <c r="H563" s="39" t="s">
        <v>101</v>
      </c>
      <c r="I563" s="39" t="s">
        <v>287</v>
      </c>
      <c r="J563" s="41">
        <v>2000</v>
      </c>
      <c r="K563" s="42">
        <v>9.4</v>
      </c>
      <c r="L563" s="43"/>
      <c r="M563" s="43">
        <f>L563*K563</f>
        <v>0</v>
      </c>
      <c r="N563" s="35">
        <v>4690368000925</v>
      </c>
    </row>
    <row r="564" spans="1:14" ht="24" customHeight="1" outlineLevel="3" x14ac:dyDescent="0.2">
      <c r="A564" s="45">
        <v>16784</v>
      </c>
      <c r="B564" s="37" t="str">
        <f>HYPERLINK("http://sedek.ru/upload/iblock/560/kapusta_izumrudnaya_golovushka.jpg","фото")</f>
        <v>фото</v>
      </c>
      <c r="C564" s="38"/>
      <c r="D564" s="38"/>
      <c r="E564" s="39"/>
      <c r="F564" s="39" t="s">
        <v>710</v>
      </c>
      <c r="G564" s="44">
        <v>0.5</v>
      </c>
      <c r="H564" s="39" t="s">
        <v>101</v>
      </c>
      <c r="I564" s="39" t="s">
        <v>102</v>
      </c>
      <c r="J564" s="41">
        <v>2000</v>
      </c>
      <c r="K564" s="42">
        <v>19.5</v>
      </c>
      <c r="L564" s="43"/>
      <c r="M564" s="43">
        <f>L564*K564</f>
        <v>0</v>
      </c>
      <c r="N564" s="35">
        <v>4690368025324</v>
      </c>
    </row>
    <row r="565" spans="1:14" ht="24" customHeight="1" outlineLevel="3" x14ac:dyDescent="0.2">
      <c r="A565" s="36" t="s">
        <v>711</v>
      </c>
      <c r="B565" s="37" t="str">
        <f>HYPERLINK("http://sedek.ru/upload/iblock/81a/kapusta_ingrid_listovaya_keyl.jpg","фото")</f>
        <v>фото</v>
      </c>
      <c r="C565" s="38" t="s">
        <v>266</v>
      </c>
      <c r="D565" s="38" t="s">
        <v>266</v>
      </c>
      <c r="E565" s="39"/>
      <c r="F565" s="39" t="s">
        <v>712</v>
      </c>
      <c r="G565" s="44">
        <v>0.3</v>
      </c>
      <c r="H565" s="39" t="s">
        <v>101</v>
      </c>
      <c r="I565" s="39" t="s">
        <v>102</v>
      </c>
      <c r="J565" s="41">
        <v>2000</v>
      </c>
      <c r="K565" s="42">
        <v>20.5</v>
      </c>
      <c r="L565" s="43"/>
      <c r="M565" s="43">
        <f>L565*K565</f>
        <v>0</v>
      </c>
      <c r="N565" s="35">
        <v>4690368037761</v>
      </c>
    </row>
    <row r="566" spans="1:14" ht="24" customHeight="1" outlineLevel="3" x14ac:dyDescent="0.2">
      <c r="A566" s="45">
        <v>15882</v>
      </c>
      <c r="B566" s="37" t="str">
        <f>HYPERLINK("http://sedek.ru/upload/iblock/402/kapusta_ira_f1.jpg","фото")</f>
        <v>фото</v>
      </c>
      <c r="C566" s="38"/>
      <c r="D566" s="38"/>
      <c r="E566" s="39"/>
      <c r="F566" s="39" t="s">
        <v>713</v>
      </c>
      <c r="G566" s="44">
        <v>0.1</v>
      </c>
      <c r="H566" s="39" t="s">
        <v>101</v>
      </c>
      <c r="I566" s="39" t="s">
        <v>102</v>
      </c>
      <c r="J566" s="41">
        <v>2500</v>
      </c>
      <c r="K566" s="42">
        <v>39.4</v>
      </c>
      <c r="L566" s="43"/>
      <c r="M566" s="43">
        <f>L566*K566</f>
        <v>0</v>
      </c>
      <c r="N566" s="35">
        <v>4607149404353</v>
      </c>
    </row>
    <row r="567" spans="1:14" ht="24" customHeight="1" outlineLevel="3" x14ac:dyDescent="0.2">
      <c r="A567" s="45">
        <v>13524</v>
      </c>
      <c r="B567" s="37" t="str">
        <f>HYPERLINK("http://sedek.ru/upload/iblock/bd3/kapusta_iyunskaya.jpg","фото")</f>
        <v>фото</v>
      </c>
      <c r="C567" s="38"/>
      <c r="D567" s="38"/>
      <c r="E567" s="39"/>
      <c r="F567" s="39" t="s">
        <v>714</v>
      </c>
      <c r="G567" s="44">
        <v>0.5</v>
      </c>
      <c r="H567" s="39" t="s">
        <v>101</v>
      </c>
      <c r="I567" s="39" t="s">
        <v>102</v>
      </c>
      <c r="J567" s="41">
        <v>2000</v>
      </c>
      <c r="K567" s="42">
        <v>15.6</v>
      </c>
      <c r="L567" s="43"/>
      <c r="M567" s="43">
        <f>L567*K567</f>
        <v>0</v>
      </c>
      <c r="N567" s="35">
        <v>4607015186529</v>
      </c>
    </row>
    <row r="568" spans="1:14" ht="24" customHeight="1" outlineLevel="3" x14ac:dyDescent="0.2">
      <c r="A568" s="45">
        <v>13524</v>
      </c>
      <c r="B568" s="37" t="str">
        <f>HYPERLINK("http://sedek.ru/upload/iblock/bd3/kapusta_iyunskaya.jpg","фото")</f>
        <v>фото</v>
      </c>
      <c r="C568" s="38"/>
      <c r="D568" s="38"/>
      <c r="E568" s="39"/>
      <c r="F568" s="39" t="s">
        <v>715</v>
      </c>
      <c r="G568" s="44">
        <v>0.5</v>
      </c>
      <c r="H568" s="39" t="s">
        <v>101</v>
      </c>
      <c r="I568" s="39" t="s">
        <v>287</v>
      </c>
      <c r="J568" s="41">
        <v>2000</v>
      </c>
      <c r="K568" s="42">
        <v>6.8</v>
      </c>
      <c r="L568" s="43"/>
      <c r="M568" s="43">
        <f>L568*K568</f>
        <v>0</v>
      </c>
      <c r="N568" s="35">
        <v>4690368004534</v>
      </c>
    </row>
    <row r="569" spans="1:14" ht="24" customHeight="1" outlineLevel="3" x14ac:dyDescent="0.2">
      <c r="A569" s="45">
        <v>15781</v>
      </c>
      <c r="B569" s="37" t="str">
        <f>HYPERLINK("http://sedek.ru/upload/iblock/e25/kapusta_kazachok_f1.jpg","фото")</f>
        <v>фото</v>
      </c>
      <c r="C569" s="38"/>
      <c r="D569" s="38"/>
      <c r="E569" s="39"/>
      <c r="F569" s="39" t="s">
        <v>716</v>
      </c>
      <c r="G569" s="44">
        <v>0.1</v>
      </c>
      <c r="H569" s="39"/>
      <c r="I569" s="39" t="s">
        <v>102</v>
      </c>
      <c r="J569" s="41">
        <v>2000</v>
      </c>
      <c r="K569" s="42">
        <v>26.3</v>
      </c>
      <c r="L569" s="43"/>
      <c r="M569" s="43">
        <f>L569*K569</f>
        <v>0</v>
      </c>
      <c r="N569" s="35">
        <v>4607015186536</v>
      </c>
    </row>
    <row r="570" spans="1:14" ht="24" customHeight="1" outlineLevel="3" x14ac:dyDescent="0.2">
      <c r="A570" s="45">
        <v>15704</v>
      </c>
      <c r="B570" s="37" t="str">
        <f>HYPERLINK("http://sedek.ru/upload/iblock/6f0/kapusta_kamenna_glova.jpg","фото")</f>
        <v>фото</v>
      </c>
      <c r="C570" s="38"/>
      <c r="D570" s="38"/>
      <c r="E570" s="39"/>
      <c r="F570" s="39" t="s">
        <v>717</v>
      </c>
      <c r="G570" s="44">
        <v>0.5</v>
      </c>
      <c r="H570" s="39" t="s">
        <v>101</v>
      </c>
      <c r="I570" s="39" t="s">
        <v>102</v>
      </c>
      <c r="J570" s="41">
        <v>2000</v>
      </c>
      <c r="K570" s="42">
        <v>18.8</v>
      </c>
      <c r="L570" s="43"/>
      <c r="M570" s="43">
        <f>L570*K570</f>
        <v>0</v>
      </c>
      <c r="N570" s="35">
        <v>4690368028233</v>
      </c>
    </row>
    <row r="571" spans="1:14" ht="24" customHeight="1" outlineLevel="3" x14ac:dyDescent="0.2">
      <c r="A571" s="45">
        <v>15551</v>
      </c>
      <c r="B571" s="37" t="str">
        <f>HYPERLINK("http://sedek.ru/upload/iblock/496/kapusta_kamennaya_golova.jpg","фото")</f>
        <v>фото</v>
      </c>
      <c r="C571" s="38"/>
      <c r="D571" s="38"/>
      <c r="E571" s="39"/>
      <c r="F571" s="39" t="s">
        <v>718</v>
      </c>
      <c r="G571" s="44">
        <v>0.5</v>
      </c>
      <c r="H571" s="39" t="s">
        <v>101</v>
      </c>
      <c r="I571" s="39" t="s">
        <v>102</v>
      </c>
      <c r="J571" s="41">
        <v>2000</v>
      </c>
      <c r="K571" s="42">
        <v>19.100000000000001</v>
      </c>
      <c r="L571" s="43"/>
      <c r="M571" s="43">
        <f>L571*K571</f>
        <v>0</v>
      </c>
      <c r="N571" s="35">
        <v>4607116267233</v>
      </c>
    </row>
    <row r="572" spans="1:14" ht="24" customHeight="1" outlineLevel="3" x14ac:dyDescent="0.2">
      <c r="A572" s="45">
        <v>13600</v>
      </c>
      <c r="B572" s="37" t="str">
        <f>HYPERLINK("http://sedek.ru/upload/iblock/f6a/kapusta_kamennaya_golovka_447.JPG","фото")</f>
        <v>фото</v>
      </c>
      <c r="C572" s="38"/>
      <c r="D572" s="38"/>
      <c r="E572" s="39"/>
      <c r="F572" s="39" t="s">
        <v>719</v>
      </c>
      <c r="G572" s="44">
        <v>0.5</v>
      </c>
      <c r="H572" s="39" t="s">
        <v>101</v>
      </c>
      <c r="I572" s="39" t="s">
        <v>102</v>
      </c>
      <c r="J572" s="41">
        <v>2000</v>
      </c>
      <c r="K572" s="42">
        <v>16.899999999999999</v>
      </c>
      <c r="L572" s="43"/>
      <c r="M572" s="43">
        <f>L572*K572</f>
        <v>0</v>
      </c>
      <c r="N572" s="35">
        <v>4690368024150</v>
      </c>
    </row>
    <row r="573" spans="1:14" ht="24" customHeight="1" outlineLevel="3" x14ac:dyDescent="0.2">
      <c r="A573" s="45">
        <v>13600</v>
      </c>
      <c r="B573" s="37" t="str">
        <f>HYPERLINK("http://sedek.ru/upload/iblock/f6a/kapusta_kamennaya_golovka_447.JPG","фото")</f>
        <v>фото</v>
      </c>
      <c r="C573" s="38"/>
      <c r="D573" s="38"/>
      <c r="E573" s="39"/>
      <c r="F573" s="39" t="s">
        <v>720</v>
      </c>
      <c r="G573" s="44">
        <v>0.5</v>
      </c>
      <c r="H573" s="39" t="s">
        <v>101</v>
      </c>
      <c r="I573" s="39" t="s">
        <v>287</v>
      </c>
      <c r="J573" s="41">
        <v>2000</v>
      </c>
      <c r="K573" s="42">
        <v>7</v>
      </c>
      <c r="L573" s="43"/>
      <c r="M573" s="43">
        <f>L573*K573</f>
        <v>0</v>
      </c>
      <c r="N573" s="35">
        <v>4607149402298</v>
      </c>
    </row>
    <row r="574" spans="1:14" ht="24" customHeight="1" outlineLevel="3" x14ac:dyDescent="0.2">
      <c r="A574" s="45">
        <v>13939</v>
      </c>
      <c r="B574" s="37" t="str">
        <f>HYPERLINK("http://sedek.ru/upload/iblock/5d1/kapusta_katyusha_f1.jpg","фото")</f>
        <v>фото</v>
      </c>
      <c r="C574" s="38"/>
      <c r="D574" s="38"/>
      <c r="E574" s="39"/>
      <c r="F574" s="39" t="s">
        <v>721</v>
      </c>
      <c r="G574" s="44">
        <v>0.1</v>
      </c>
      <c r="H574" s="39" t="s">
        <v>101</v>
      </c>
      <c r="I574" s="39" t="s">
        <v>102</v>
      </c>
      <c r="J574" s="41">
        <v>2500</v>
      </c>
      <c r="K574" s="42">
        <v>32.1</v>
      </c>
      <c r="L574" s="43"/>
      <c r="M574" s="43">
        <f>L574*K574</f>
        <v>0</v>
      </c>
      <c r="N574" s="35">
        <v>4607015186550</v>
      </c>
    </row>
    <row r="575" spans="1:14" ht="24" customHeight="1" outlineLevel="3" x14ac:dyDescent="0.2">
      <c r="A575" s="45">
        <v>13939</v>
      </c>
      <c r="B575" s="37" t="str">
        <f>HYPERLINK("http://sedek.ru/upload/iblock/5d1/kapusta_katyusha_f1.jpg","фото")</f>
        <v>фото</v>
      </c>
      <c r="C575" s="38"/>
      <c r="D575" s="38"/>
      <c r="E575" s="39"/>
      <c r="F575" s="39" t="s">
        <v>722</v>
      </c>
      <c r="G575" s="44">
        <v>0.1</v>
      </c>
      <c r="H575" s="39" t="s">
        <v>101</v>
      </c>
      <c r="I575" s="39" t="s">
        <v>287</v>
      </c>
      <c r="J575" s="41">
        <v>2500</v>
      </c>
      <c r="K575" s="42">
        <v>12.2</v>
      </c>
      <c r="L575" s="43"/>
      <c r="M575" s="43">
        <f>L575*K575</f>
        <v>0</v>
      </c>
      <c r="N575" s="35">
        <v>4607149402304</v>
      </c>
    </row>
    <row r="576" spans="1:14" ht="24" customHeight="1" outlineLevel="3" x14ac:dyDescent="0.2">
      <c r="A576" s="45">
        <v>14253</v>
      </c>
      <c r="B576" s="37" t="str">
        <f>HYPERLINK("http://sedek.ru/upload/iblock/b2c/kapusta_kitayskaya_otbornaya_f1.jpg","фото")</f>
        <v>фото</v>
      </c>
      <c r="C576" s="38"/>
      <c r="D576" s="38"/>
      <c r="E576" s="39"/>
      <c r="F576" s="39" t="s">
        <v>723</v>
      </c>
      <c r="G576" s="44">
        <v>0.3</v>
      </c>
      <c r="H576" s="39" t="s">
        <v>101</v>
      </c>
      <c r="I576" s="39" t="s">
        <v>102</v>
      </c>
      <c r="J576" s="41">
        <v>2000</v>
      </c>
      <c r="K576" s="42">
        <v>20.5</v>
      </c>
      <c r="L576" s="43"/>
      <c r="M576" s="43">
        <f>L576*K576</f>
        <v>0</v>
      </c>
      <c r="N576" s="35">
        <v>4607116267240</v>
      </c>
    </row>
    <row r="577" spans="1:14" ht="24" customHeight="1" outlineLevel="3" x14ac:dyDescent="0.2">
      <c r="A577" s="45">
        <v>14253</v>
      </c>
      <c r="B577" s="37" t="str">
        <f>HYPERLINK("http://sedek.ru/upload/iblock/b2c/kapusta_kitayskaya_otbornaya_f1.jpg","фото")</f>
        <v>фото</v>
      </c>
      <c r="C577" s="38"/>
      <c r="D577" s="38"/>
      <c r="E577" s="39"/>
      <c r="F577" s="39" t="s">
        <v>724</v>
      </c>
      <c r="G577" s="44">
        <v>0.3</v>
      </c>
      <c r="H577" s="39" t="s">
        <v>101</v>
      </c>
      <c r="I577" s="39" t="s">
        <v>287</v>
      </c>
      <c r="J577" s="41">
        <v>2000</v>
      </c>
      <c r="K577" s="42">
        <v>7</v>
      </c>
      <c r="L577" s="43"/>
      <c r="M577" s="43">
        <f>L577*K577</f>
        <v>0</v>
      </c>
      <c r="N577" s="35">
        <v>4690368006163</v>
      </c>
    </row>
    <row r="578" spans="1:14" ht="24" customHeight="1" outlineLevel="3" x14ac:dyDescent="0.2">
      <c r="A578" s="45">
        <v>16081</v>
      </c>
      <c r="B578" s="37" t="str">
        <f>HYPERLINK("http://sedek.ru/upload/iblock/abd/kapusta_kolobok_f1.jpg","фото")</f>
        <v>фото</v>
      </c>
      <c r="C578" s="38"/>
      <c r="D578" s="38"/>
      <c r="E578" s="39"/>
      <c r="F578" s="39" t="s">
        <v>725</v>
      </c>
      <c r="G578" s="44">
        <v>0.1</v>
      </c>
      <c r="H578" s="39" t="s">
        <v>101</v>
      </c>
      <c r="I578" s="39" t="s">
        <v>102</v>
      </c>
      <c r="J578" s="41">
        <v>2500</v>
      </c>
      <c r="K578" s="42">
        <v>32.1</v>
      </c>
      <c r="L578" s="43"/>
      <c r="M578" s="43">
        <f>L578*K578</f>
        <v>0</v>
      </c>
      <c r="N578" s="35">
        <v>4607015186567</v>
      </c>
    </row>
    <row r="579" spans="1:14" ht="24" customHeight="1" outlineLevel="3" x14ac:dyDescent="0.2">
      <c r="A579" s="45">
        <v>16787</v>
      </c>
      <c r="B579" s="37" t="str">
        <f>HYPERLINK("http://sedek.ru/upload/iblock/e04/kapusta_krasivaya_golovushka_f1_tsv_.jpg","фото")</f>
        <v>фото</v>
      </c>
      <c r="C579" s="38"/>
      <c r="D579" s="38"/>
      <c r="E579" s="39"/>
      <c r="F579" s="39" t="s">
        <v>726</v>
      </c>
      <c r="G579" s="44">
        <v>0.5</v>
      </c>
      <c r="H579" s="39" t="s">
        <v>101</v>
      </c>
      <c r="I579" s="39" t="s">
        <v>102</v>
      </c>
      <c r="J579" s="41">
        <v>2000</v>
      </c>
      <c r="K579" s="42">
        <v>19.5</v>
      </c>
      <c r="L579" s="43"/>
      <c r="M579" s="43">
        <f>L579*K579</f>
        <v>0</v>
      </c>
      <c r="N579" s="35">
        <v>4690368026628</v>
      </c>
    </row>
    <row r="580" spans="1:14" ht="24" customHeight="1" outlineLevel="3" x14ac:dyDescent="0.2">
      <c r="A580" s="45">
        <v>15195</v>
      </c>
      <c r="B580" s="37" t="str">
        <f>HYPERLINK("http://sedek.ru/upload/iblock/bc8/kapusta_krasnaya_golova.jpg","фото")</f>
        <v>фото</v>
      </c>
      <c r="C580" s="38"/>
      <c r="D580" s="38"/>
      <c r="E580" s="39"/>
      <c r="F580" s="39" t="s">
        <v>727</v>
      </c>
      <c r="G580" s="44">
        <v>0.5</v>
      </c>
      <c r="H580" s="39" t="s">
        <v>101</v>
      </c>
      <c r="I580" s="39" t="s">
        <v>102</v>
      </c>
      <c r="J580" s="41">
        <v>2000</v>
      </c>
      <c r="K580" s="42">
        <v>20.5</v>
      </c>
      <c r="L580" s="43"/>
      <c r="M580" s="43">
        <f>L580*K580</f>
        <v>0</v>
      </c>
      <c r="N580" s="35">
        <v>4607149404445</v>
      </c>
    </row>
    <row r="581" spans="1:14" ht="24" customHeight="1" outlineLevel="3" x14ac:dyDescent="0.2">
      <c r="A581" s="45">
        <v>15927</v>
      </c>
      <c r="B581" s="37" t="str">
        <f>HYPERLINK("http://sedek.ru/upload/iblock/ecd/kapusta_kudryavaya_golova.jpg","фото")</f>
        <v>фото</v>
      </c>
      <c r="C581" s="38"/>
      <c r="D581" s="38" t="s">
        <v>266</v>
      </c>
      <c r="E581" s="39"/>
      <c r="F581" s="39" t="s">
        <v>728</v>
      </c>
      <c r="G581" s="44">
        <v>0.5</v>
      </c>
      <c r="H581" s="39" t="s">
        <v>101</v>
      </c>
      <c r="I581" s="39" t="s">
        <v>102</v>
      </c>
      <c r="J581" s="41">
        <v>2000</v>
      </c>
      <c r="K581" s="42">
        <v>33.799999999999997</v>
      </c>
      <c r="L581" s="43"/>
      <c r="M581" s="43">
        <f>L581*K581</f>
        <v>0</v>
      </c>
      <c r="N581" s="35">
        <v>4607116267578</v>
      </c>
    </row>
    <row r="582" spans="1:14" ht="24" customHeight="1" outlineLevel="3" x14ac:dyDescent="0.2">
      <c r="A582" s="45">
        <v>16496</v>
      </c>
      <c r="B582" s="37" t="str">
        <f>HYPERLINK("http://sedek.ru/upload/iblock/4da/kapusta_kukharka_f1.jpg","фото")</f>
        <v>фото</v>
      </c>
      <c r="C582" s="38"/>
      <c r="D582" s="38"/>
      <c r="E582" s="39"/>
      <c r="F582" s="39" t="s">
        <v>729</v>
      </c>
      <c r="G582" s="44">
        <v>0.3</v>
      </c>
      <c r="H582" s="39" t="s">
        <v>101</v>
      </c>
      <c r="I582" s="39" t="s">
        <v>102</v>
      </c>
      <c r="J582" s="41">
        <v>2000</v>
      </c>
      <c r="K582" s="42">
        <v>30.3</v>
      </c>
      <c r="L582" s="43"/>
      <c r="M582" s="43">
        <f>L582*K582</f>
        <v>0</v>
      </c>
      <c r="N582" s="35">
        <v>4607015186598</v>
      </c>
    </row>
    <row r="583" spans="1:14" ht="24" customHeight="1" outlineLevel="3" x14ac:dyDescent="0.2">
      <c r="A583" s="45">
        <v>16496</v>
      </c>
      <c r="B583" s="37" t="str">
        <f>HYPERLINK("http://sedek.ru/upload/iblock/4da/kapusta_kukharka_f1.jpg","фото")</f>
        <v>фото</v>
      </c>
      <c r="C583" s="38"/>
      <c r="D583" s="38"/>
      <c r="E583" s="39"/>
      <c r="F583" s="39" t="s">
        <v>730</v>
      </c>
      <c r="G583" s="44">
        <v>0.3</v>
      </c>
      <c r="H583" s="39" t="s">
        <v>101</v>
      </c>
      <c r="I583" s="39" t="s">
        <v>287</v>
      </c>
      <c r="J583" s="41">
        <v>2000</v>
      </c>
      <c r="K583" s="42">
        <v>13.4</v>
      </c>
      <c r="L583" s="43"/>
      <c r="M583" s="43">
        <f>L583*K583</f>
        <v>0</v>
      </c>
      <c r="N583" s="35">
        <v>4607149409648</v>
      </c>
    </row>
    <row r="584" spans="1:14" ht="24" customHeight="1" outlineLevel="3" x14ac:dyDescent="0.2">
      <c r="A584" s="45">
        <v>16453</v>
      </c>
      <c r="B584" s="37" t="str">
        <f>HYPERLINK("http://sedek.ru/upload/iblock/b6f/kapusta_langedeyker_zimniy.jpg","фото")</f>
        <v>фото</v>
      </c>
      <c r="C584" s="38"/>
      <c r="D584" s="38"/>
      <c r="E584" s="39"/>
      <c r="F584" s="39" t="s">
        <v>731</v>
      </c>
      <c r="G584" s="44">
        <v>0.5</v>
      </c>
      <c r="H584" s="39" t="s">
        <v>101</v>
      </c>
      <c r="I584" s="39" t="s">
        <v>102</v>
      </c>
      <c r="J584" s="41">
        <v>2000</v>
      </c>
      <c r="K584" s="42">
        <v>20</v>
      </c>
      <c r="L584" s="43"/>
      <c r="M584" s="43">
        <f>L584*K584</f>
        <v>0</v>
      </c>
      <c r="N584" s="35">
        <v>4607015186611</v>
      </c>
    </row>
    <row r="585" spans="1:14" ht="24" customHeight="1" outlineLevel="3" x14ac:dyDescent="0.2">
      <c r="A585" s="45">
        <v>16453</v>
      </c>
      <c r="B585" s="37" t="str">
        <f>HYPERLINK("http://sedek.ru/upload/iblock/b6f/kapusta_langedeyker_zimniy.jpg","фото")</f>
        <v>фото</v>
      </c>
      <c r="C585" s="38"/>
      <c r="D585" s="38"/>
      <c r="E585" s="39"/>
      <c r="F585" s="39" t="s">
        <v>732</v>
      </c>
      <c r="G585" s="44">
        <v>0.5</v>
      </c>
      <c r="H585" s="39" t="s">
        <v>101</v>
      </c>
      <c r="I585" s="39" t="s">
        <v>287</v>
      </c>
      <c r="J585" s="41">
        <v>2000</v>
      </c>
      <c r="K585" s="42">
        <v>6.8</v>
      </c>
      <c r="L585" s="43"/>
      <c r="M585" s="43">
        <f>L585*K585</f>
        <v>0</v>
      </c>
      <c r="N585" s="35">
        <v>4607149409655</v>
      </c>
    </row>
    <row r="586" spans="1:14" ht="24" customHeight="1" outlineLevel="3" x14ac:dyDescent="0.2">
      <c r="A586" s="45">
        <v>15368</v>
      </c>
      <c r="B586" s="37" t="str">
        <f>HYPERLINK("http://sedek.ru/upload/iblock/f74/kapusta_langedeyker_lares.jpg","фото")</f>
        <v>фото</v>
      </c>
      <c r="C586" s="38"/>
      <c r="D586" s="38"/>
      <c r="E586" s="39"/>
      <c r="F586" s="39" t="s">
        <v>733</v>
      </c>
      <c r="G586" s="44">
        <v>0.5</v>
      </c>
      <c r="H586" s="39" t="s">
        <v>101</v>
      </c>
      <c r="I586" s="39" t="s">
        <v>102</v>
      </c>
      <c r="J586" s="41">
        <v>2000</v>
      </c>
      <c r="K586" s="42">
        <v>20</v>
      </c>
      <c r="L586" s="43"/>
      <c r="M586" s="43">
        <f>L586*K586</f>
        <v>0</v>
      </c>
      <c r="N586" s="35">
        <v>4607015186628</v>
      </c>
    </row>
    <row r="587" spans="1:14" ht="24" customHeight="1" outlineLevel="3" x14ac:dyDescent="0.2">
      <c r="A587" s="45">
        <v>16567</v>
      </c>
      <c r="B587" s="37" t="str">
        <f>HYPERLINK("http://sedek.ru/upload/iblock/d7d/kapusta_lezhkaya_zimnyaya.jpg","фото")</f>
        <v>фото</v>
      </c>
      <c r="C587" s="38"/>
      <c r="D587" s="38"/>
      <c r="E587" s="39"/>
      <c r="F587" s="39" t="s">
        <v>734</v>
      </c>
      <c r="G587" s="44">
        <v>0.5</v>
      </c>
      <c r="H587" s="39" t="s">
        <v>101</v>
      </c>
      <c r="I587" s="39" t="s">
        <v>102</v>
      </c>
      <c r="J587" s="41">
        <v>2000</v>
      </c>
      <c r="K587" s="42">
        <v>16.899999999999999</v>
      </c>
      <c r="L587" s="43"/>
      <c r="M587" s="43">
        <f>L587*K587</f>
        <v>0</v>
      </c>
      <c r="N587" s="35">
        <v>4607149404377</v>
      </c>
    </row>
    <row r="588" spans="1:14" ht="24" customHeight="1" outlineLevel="3" x14ac:dyDescent="0.2">
      <c r="A588" s="45">
        <v>16458</v>
      </c>
      <c r="B588" s="37" t="str">
        <f>HYPERLINK("http://sedek.ru/upload/iblock/08d/kapusta_lennoks_f1.jpg","фото")</f>
        <v>фото</v>
      </c>
      <c r="C588" s="38"/>
      <c r="D588" s="38"/>
      <c r="E588" s="39"/>
      <c r="F588" s="39" t="s">
        <v>735</v>
      </c>
      <c r="G588" s="40">
        <v>15</v>
      </c>
      <c r="H588" s="39" t="s">
        <v>101</v>
      </c>
      <c r="I588" s="39" t="s">
        <v>102</v>
      </c>
      <c r="J588" s="41">
        <v>5000</v>
      </c>
      <c r="K588" s="42">
        <v>70.900000000000006</v>
      </c>
      <c r="L588" s="43"/>
      <c r="M588" s="43">
        <f>L588*K588</f>
        <v>0</v>
      </c>
      <c r="N588" s="35">
        <v>4607149400454</v>
      </c>
    </row>
    <row r="589" spans="1:14" ht="36" customHeight="1" outlineLevel="3" x14ac:dyDescent="0.2">
      <c r="A589" s="45">
        <v>16381</v>
      </c>
      <c r="B589" s="37" t="str">
        <f>HYPERLINK("http://sedek.ru/upload/iblock/9ea/kapusta_leto_osen_f1.jpg","фото")</f>
        <v>фото</v>
      </c>
      <c r="C589" s="38"/>
      <c r="D589" s="38"/>
      <c r="E589" s="39"/>
      <c r="F589" s="39" t="s">
        <v>736</v>
      </c>
      <c r="G589" s="44">
        <v>0.3</v>
      </c>
      <c r="H589" s="39" t="s">
        <v>101</v>
      </c>
      <c r="I589" s="39" t="s">
        <v>102</v>
      </c>
      <c r="J589" s="41">
        <v>2000</v>
      </c>
      <c r="K589" s="42">
        <v>20</v>
      </c>
      <c r="L589" s="43"/>
      <c r="M589" s="43">
        <f>L589*K589</f>
        <v>0</v>
      </c>
      <c r="N589" s="35">
        <v>4690368005753</v>
      </c>
    </row>
    <row r="590" spans="1:14" ht="24" customHeight="1" outlineLevel="3" x14ac:dyDescent="0.2">
      <c r="A590" s="45">
        <v>16080</v>
      </c>
      <c r="B590" s="37" t="str">
        <f>HYPERLINK("http://sedek.ru/upload/iblock/752/kapusta_linda.jpg","фото")</f>
        <v>фото</v>
      </c>
      <c r="C590" s="38"/>
      <c r="D590" s="38"/>
      <c r="E590" s="39"/>
      <c r="F590" s="39" t="s">
        <v>737</v>
      </c>
      <c r="G590" s="44">
        <v>0.3</v>
      </c>
      <c r="H590" s="39" t="s">
        <v>101</v>
      </c>
      <c r="I590" s="39" t="s">
        <v>102</v>
      </c>
      <c r="J590" s="41">
        <v>2000</v>
      </c>
      <c r="K590" s="42">
        <v>20</v>
      </c>
      <c r="L590" s="43"/>
      <c r="M590" s="43">
        <f>L590*K590</f>
        <v>0</v>
      </c>
      <c r="N590" s="35">
        <v>4607149400775</v>
      </c>
    </row>
    <row r="591" spans="1:14" ht="24" customHeight="1" outlineLevel="3" x14ac:dyDescent="0.2">
      <c r="A591" s="36" t="s">
        <v>738</v>
      </c>
      <c r="B591" s="37" t="str">
        <f>HYPERLINK("http://sedek.ru/upload/iblock/a55/kapusta_lozanna_f1_b_k.jpg","фото")</f>
        <v>фото</v>
      </c>
      <c r="C591" s="38"/>
      <c r="D591" s="38"/>
      <c r="E591" s="39"/>
      <c r="F591" s="39" t="s">
        <v>739</v>
      </c>
      <c r="G591" s="54">
        <v>0.05</v>
      </c>
      <c r="H591" s="39" t="s">
        <v>101</v>
      </c>
      <c r="I591" s="39" t="s">
        <v>102</v>
      </c>
      <c r="J591" s="41">
        <v>5000</v>
      </c>
      <c r="K591" s="42">
        <v>33.4</v>
      </c>
      <c r="L591" s="43"/>
      <c r="M591" s="43">
        <f>L591*K591</f>
        <v>0</v>
      </c>
      <c r="N591" s="35">
        <v>4690368030243</v>
      </c>
    </row>
    <row r="592" spans="1:14" ht="24" customHeight="1" outlineLevel="3" x14ac:dyDescent="0.2">
      <c r="A592" s="45">
        <v>13540</v>
      </c>
      <c r="B592" s="37" t="str">
        <f>HYPERLINK("http://sedek.ru/upload/iblock/16c/kapusta_lyudmila_f1.jpg","фото")</f>
        <v>фото</v>
      </c>
      <c r="C592" s="38"/>
      <c r="D592" s="38"/>
      <c r="E592" s="39"/>
      <c r="F592" s="39" t="s">
        <v>740</v>
      </c>
      <c r="G592" s="44">
        <v>0.1</v>
      </c>
      <c r="H592" s="39" t="s">
        <v>101</v>
      </c>
      <c r="I592" s="39" t="s">
        <v>102</v>
      </c>
      <c r="J592" s="41">
        <v>2500</v>
      </c>
      <c r="K592" s="42">
        <v>28</v>
      </c>
      <c r="L592" s="43"/>
      <c r="M592" s="43">
        <f>L592*K592</f>
        <v>0</v>
      </c>
      <c r="N592" s="35">
        <v>4607149404391</v>
      </c>
    </row>
    <row r="593" spans="1:14" ht="24" customHeight="1" outlineLevel="3" x14ac:dyDescent="0.2">
      <c r="A593" s="45">
        <v>13540</v>
      </c>
      <c r="B593" s="37" t="str">
        <f>HYPERLINK("http://sedek.ru/upload/iblock/16c/kapusta_lyudmila_f1.jpg","фото")</f>
        <v>фото</v>
      </c>
      <c r="C593" s="38"/>
      <c r="D593" s="38"/>
      <c r="E593" s="39"/>
      <c r="F593" s="39" t="s">
        <v>741</v>
      </c>
      <c r="G593" s="44">
        <v>0.1</v>
      </c>
      <c r="H593" s="39" t="s">
        <v>101</v>
      </c>
      <c r="I593" s="39" t="s">
        <v>287</v>
      </c>
      <c r="J593" s="41">
        <v>2500</v>
      </c>
      <c r="K593" s="42">
        <v>10.8</v>
      </c>
      <c r="L593" s="43"/>
      <c r="M593" s="43">
        <f>L593*K593</f>
        <v>0</v>
      </c>
      <c r="N593" s="35">
        <v>4690368043946</v>
      </c>
    </row>
    <row r="594" spans="1:14" ht="24" customHeight="1" outlineLevel="3" x14ac:dyDescent="0.2">
      <c r="A594" s="36" t="s">
        <v>742</v>
      </c>
      <c r="B594" s="37" t="str">
        <f>HYPERLINK("http://sedek.ru/upload/iblock/cdd/kapusta_madonna_f1_brokkoli.jpg","фото")</f>
        <v>фото</v>
      </c>
      <c r="C594" s="38"/>
      <c r="D594" s="38"/>
      <c r="E594" s="39"/>
      <c r="F594" s="39" t="s">
        <v>743</v>
      </c>
      <c r="G594" s="44">
        <v>0.1</v>
      </c>
      <c r="H594" s="39" t="s">
        <v>101</v>
      </c>
      <c r="I594" s="39" t="s">
        <v>102</v>
      </c>
      <c r="J594" s="41">
        <v>2500</v>
      </c>
      <c r="K594" s="42">
        <v>36.6</v>
      </c>
      <c r="L594" s="43"/>
      <c r="M594" s="43">
        <f>L594*K594</f>
        <v>0</v>
      </c>
      <c r="N594" s="35">
        <v>4690368026635</v>
      </c>
    </row>
    <row r="595" spans="1:14" ht="24" customHeight="1" outlineLevel="3" x14ac:dyDescent="0.2">
      <c r="A595" s="36" t="s">
        <v>744</v>
      </c>
      <c r="B595" s="37" t="str">
        <f>HYPERLINK("http://sedek.ru/upload/iblock/9aa/kapusta_malima_f1.jpg","фото")</f>
        <v>фото</v>
      </c>
      <c r="C595" s="38"/>
      <c r="D595" s="38"/>
      <c r="E595" s="39"/>
      <c r="F595" s="39" t="s">
        <v>745</v>
      </c>
      <c r="G595" s="44">
        <v>0.1</v>
      </c>
      <c r="H595" s="39" t="s">
        <v>101</v>
      </c>
      <c r="I595" s="39" t="s">
        <v>102</v>
      </c>
      <c r="J595" s="41">
        <v>2500</v>
      </c>
      <c r="K595" s="42">
        <v>36.6</v>
      </c>
      <c r="L595" s="43"/>
      <c r="M595" s="43">
        <f>L595*K595</f>
        <v>0</v>
      </c>
      <c r="N595" s="35">
        <v>4607015186635</v>
      </c>
    </row>
    <row r="596" spans="1:14" ht="24" customHeight="1" outlineLevel="3" x14ac:dyDescent="0.2">
      <c r="A596" s="45">
        <v>15342</v>
      </c>
      <c r="B596" s="37" t="str">
        <f>HYPERLINK("http://sedek.ru/upload/iblock/bc8/kapusta_mama_f1.JPG","фото")</f>
        <v>фото</v>
      </c>
      <c r="C596" s="38"/>
      <c r="D596" s="38"/>
      <c r="E596" s="39"/>
      <c r="F596" s="39" t="s">
        <v>746</v>
      </c>
      <c r="G596" s="44">
        <v>0.1</v>
      </c>
      <c r="H596" s="39" t="s">
        <v>101</v>
      </c>
      <c r="I596" s="39" t="s">
        <v>102</v>
      </c>
      <c r="J596" s="41">
        <v>2500</v>
      </c>
      <c r="K596" s="42">
        <v>20.5</v>
      </c>
      <c r="L596" s="43"/>
      <c r="M596" s="43">
        <f>L596*K596</f>
        <v>0</v>
      </c>
      <c r="N596" s="35">
        <v>4690368009348</v>
      </c>
    </row>
    <row r="597" spans="1:14" ht="24" customHeight="1" outlineLevel="3" x14ac:dyDescent="0.2">
      <c r="A597" s="45">
        <v>15388</v>
      </c>
      <c r="B597" s="37" t="str">
        <f>HYPERLINK("http://sedek.ru/upload/iblock/e10/kapusta_mashenka_f1.jpg","фото")</f>
        <v>фото</v>
      </c>
      <c r="C597" s="38"/>
      <c r="D597" s="38"/>
      <c r="E597" s="39"/>
      <c r="F597" s="39" t="s">
        <v>747</v>
      </c>
      <c r="G597" s="44">
        <v>0.1</v>
      </c>
      <c r="H597" s="39" t="s">
        <v>101</v>
      </c>
      <c r="I597" s="39" t="s">
        <v>102</v>
      </c>
      <c r="J597" s="41">
        <v>2500</v>
      </c>
      <c r="K597" s="42">
        <v>19.5</v>
      </c>
      <c r="L597" s="43"/>
      <c r="M597" s="43">
        <f>L597*K597</f>
        <v>0</v>
      </c>
      <c r="N597" s="35">
        <v>4690368009355</v>
      </c>
    </row>
    <row r="598" spans="1:14" ht="24" customHeight="1" outlineLevel="3" x14ac:dyDescent="0.2">
      <c r="A598" s="45">
        <v>14025</v>
      </c>
      <c r="B598" s="37" t="str">
        <f>HYPERLINK("http://sedek.ru/upload/iblock/367/kapusta_menza_f1.jpg","фото")</f>
        <v>фото</v>
      </c>
      <c r="C598" s="38"/>
      <c r="D598" s="38"/>
      <c r="E598" s="39"/>
      <c r="F598" s="39" t="s">
        <v>748</v>
      </c>
      <c r="G598" s="54">
        <v>0.05</v>
      </c>
      <c r="H598" s="39" t="s">
        <v>101</v>
      </c>
      <c r="I598" s="39" t="s">
        <v>102</v>
      </c>
      <c r="J598" s="41">
        <v>5000</v>
      </c>
      <c r="K598" s="42">
        <v>52</v>
      </c>
      <c r="L598" s="43"/>
      <c r="M598" s="43">
        <f>L598*K598</f>
        <v>0</v>
      </c>
      <c r="N598" s="35">
        <v>4607015186659</v>
      </c>
    </row>
    <row r="599" spans="1:14" ht="24" customHeight="1" outlineLevel="3" x14ac:dyDescent="0.2">
      <c r="A599" s="45">
        <v>14491</v>
      </c>
      <c r="B599" s="37" t="str">
        <f>HYPERLINK("http://sedek.ru/upload/iblock/565/kapusta_mila_f1.JPG","фото")</f>
        <v>фото</v>
      </c>
      <c r="C599" s="38"/>
      <c r="D599" s="38"/>
      <c r="E599" s="39"/>
      <c r="F599" s="39" t="s">
        <v>749</v>
      </c>
      <c r="G599" s="44">
        <v>0.3</v>
      </c>
      <c r="H599" s="39" t="s">
        <v>101</v>
      </c>
      <c r="I599" s="39" t="s">
        <v>102</v>
      </c>
      <c r="J599" s="41">
        <v>2000</v>
      </c>
      <c r="K599" s="42">
        <v>20.5</v>
      </c>
      <c r="L599" s="43"/>
      <c r="M599" s="43">
        <f>L599*K599</f>
        <v>0</v>
      </c>
      <c r="N599" s="35">
        <v>4607015186697</v>
      </c>
    </row>
    <row r="600" spans="1:14" ht="24" customHeight="1" outlineLevel="3" x14ac:dyDescent="0.2">
      <c r="A600" s="45">
        <v>15251</v>
      </c>
      <c r="B600" s="37" t="str">
        <f>HYPERLINK("http://sedek.ru/upload/iblock/3ca/kapusta_miss_kitaya.jpg","фото")</f>
        <v>фото</v>
      </c>
      <c r="C600" s="38"/>
      <c r="D600" s="38"/>
      <c r="E600" s="39"/>
      <c r="F600" s="39" t="s">
        <v>750</v>
      </c>
      <c r="G600" s="44">
        <v>0.3</v>
      </c>
      <c r="H600" s="39" t="s">
        <v>101</v>
      </c>
      <c r="I600" s="39" t="s">
        <v>102</v>
      </c>
      <c r="J600" s="41">
        <v>2000</v>
      </c>
      <c r="K600" s="42">
        <v>20.5</v>
      </c>
      <c r="L600" s="43"/>
      <c r="M600" s="43">
        <f>L600*K600</f>
        <v>0</v>
      </c>
      <c r="N600" s="35">
        <v>4607116267257</v>
      </c>
    </row>
    <row r="601" spans="1:14" ht="24" customHeight="1" outlineLevel="3" x14ac:dyDescent="0.2">
      <c r="A601" s="36" t="s">
        <v>751</v>
      </c>
      <c r="B601" s="37" t="str">
        <f>HYPERLINK("http://www.sedek.ru/upload/iblock/aa3/kapusta_mona_liza_f1_tsvetnaya.jpg","Фото")</f>
        <v>Фото</v>
      </c>
      <c r="C601" s="38"/>
      <c r="D601" s="38"/>
      <c r="E601" s="39"/>
      <c r="F601" s="39" t="s">
        <v>752</v>
      </c>
      <c r="G601" s="54">
        <v>0.05</v>
      </c>
      <c r="H601" s="39" t="s">
        <v>101</v>
      </c>
      <c r="I601" s="39" t="s">
        <v>102</v>
      </c>
      <c r="J601" s="41">
        <v>5000</v>
      </c>
      <c r="K601" s="42">
        <v>33.4</v>
      </c>
      <c r="L601" s="43"/>
      <c r="M601" s="43">
        <f>L601*K601</f>
        <v>0</v>
      </c>
      <c r="N601" s="35">
        <v>4690368030250</v>
      </c>
    </row>
    <row r="602" spans="1:14" ht="24" customHeight="1" outlineLevel="3" x14ac:dyDescent="0.2">
      <c r="A602" s="45">
        <v>16194</v>
      </c>
      <c r="B602" s="37" t="str">
        <f>HYPERLINK("http://sedek.ru/upload/iblock/a1d/kapusta_monarkh_f1.jpg","фото")</f>
        <v>фото</v>
      </c>
      <c r="C602" s="38"/>
      <c r="D602" s="38"/>
      <c r="E602" s="39"/>
      <c r="F602" s="39" t="s">
        <v>753</v>
      </c>
      <c r="G602" s="44">
        <v>0.1</v>
      </c>
      <c r="H602" s="39" t="s">
        <v>101</v>
      </c>
      <c r="I602" s="39" t="s">
        <v>102</v>
      </c>
      <c r="J602" s="41">
        <v>2500</v>
      </c>
      <c r="K602" s="42">
        <v>22.9</v>
      </c>
      <c r="L602" s="43"/>
      <c r="M602" s="43">
        <f>L602*K602</f>
        <v>0</v>
      </c>
      <c r="N602" s="35">
        <v>4690368008761</v>
      </c>
    </row>
    <row r="603" spans="1:14" ht="24" customHeight="1" outlineLevel="3" x14ac:dyDescent="0.2">
      <c r="A603" s="45">
        <v>16194</v>
      </c>
      <c r="B603" s="37" t="str">
        <f>HYPERLINK("http://sedek.ru/upload/iblock/a1d/kapusta_monarkh_f1.jpg","фото")</f>
        <v>фото</v>
      </c>
      <c r="C603" s="38"/>
      <c r="D603" s="38"/>
      <c r="E603" s="39"/>
      <c r="F603" s="39" t="s">
        <v>754</v>
      </c>
      <c r="G603" s="44">
        <v>0.1</v>
      </c>
      <c r="H603" s="39" t="s">
        <v>101</v>
      </c>
      <c r="I603" s="39" t="s">
        <v>287</v>
      </c>
      <c r="J603" s="41">
        <v>2500</v>
      </c>
      <c r="K603" s="42">
        <v>10.8</v>
      </c>
      <c r="L603" s="43"/>
      <c r="M603" s="43">
        <f>L603*K603</f>
        <v>0</v>
      </c>
      <c r="N603" s="35">
        <v>4690368019521</v>
      </c>
    </row>
    <row r="604" spans="1:14" ht="24" customHeight="1" outlineLevel="3" x14ac:dyDescent="0.2">
      <c r="A604" s="36" t="s">
        <v>755</v>
      </c>
      <c r="B604" s="37" t="str">
        <f>HYPERLINK("http://www.sedek.ru/upload/iblock/243/kapusta_monblan_f1_belokochannaya.jpg","фото")</f>
        <v>фото</v>
      </c>
      <c r="C604" s="38"/>
      <c r="D604" s="38"/>
      <c r="E604" s="39"/>
      <c r="F604" s="39" t="s">
        <v>756</v>
      </c>
      <c r="G604" s="54">
        <v>0.05</v>
      </c>
      <c r="H604" s="39" t="s">
        <v>101</v>
      </c>
      <c r="I604" s="39" t="s">
        <v>102</v>
      </c>
      <c r="J604" s="41">
        <v>5000</v>
      </c>
      <c r="K604" s="42">
        <v>33.4</v>
      </c>
      <c r="L604" s="43"/>
      <c r="M604" s="43">
        <f>L604*K604</f>
        <v>0</v>
      </c>
      <c r="N604" s="35">
        <v>4690368030267</v>
      </c>
    </row>
    <row r="605" spans="1:14" ht="24" customHeight="1" outlineLevel="3" x14ac:dyDescent="0.2">
      <c r="A605" s="45">
        <v>15375</v>
      </c>
      <c r="B605" s="37" t="str">
        <f>HYPERLINK("http://sedek.ru/upload/iblock/748/kapusta_moskovskaya_pozdnyaya_9.JPG","фото")</f>
        <v>фото</v>
      </c>
      <c r="C605" s="38"/>
      <c r="D605" s="38"/>
      <c r="E605" s="39"/>
      <c r="F605" s="39" t="s">
        <v>757</v>
      </c>
      <c r="G605" s="44">
        <v>0.5</v>
      </c>
      <c r="H605" s="39" t="s">
        <v>101</v>
      </c>
      <c r="I605" s="39" t="s">
        <v>102</v>
      </c>
      <c r="J605" s="41">
        <v>2000</v>
      </c>
      <c r="K605" s="42">
        <v>15.6</v>
      </c>
      <c r="L605" s="43"/>
      <c r="M605" s="43">
        <f>L605*K605</f>
        <v>0</v>
      </c>
      <c r="N605" s="35">
        <v>4607015186703</v>
      </c>
    </row>
    <row r="606" spans="1:14" ht="24" customHeight="1" outlineLevel="3" x14ac:dyDescent="0.2">
      <c r="A606" s="45">
        <v>15154</v>
      </c>
      <c r="B606" s="37" t="str">
        <f>HYPERLINK("http://sedek.ru/upload/iblock/348/kapusta_nadezhda.jpg","фото")</f>
        <v>фото</v>
      </c>
      <c r="C606" s="38"/>
      <c r="D606" s="38"/>
      <c r="E606" s="39"/>
      <c r="F606" s="39" t="s">
        <v>758</v>
      </c>
      <c r="G606" s="44">
        <v>0.5</v>
      </c>
      <c r="H606" s="39" t="s">
        <v>101</v>
      </c>
      <c r="I606" s="39" t="s">
        <v>102</v>
      </c>
      <c r="J606" s="41">
        <v>2000</v>
      </c>
      <c r="K606" s="42">
        <v>15.6</v>
      </c>
      <c r="L606" s="43"/>
      <c r="M606" s="43">
        <f>L606*K606</f>
        <v>0</v>
      </c>
      <c r="N606" s="35">
        <v>4607149404452</v>
      </c>
    </row>
    <row r="607" spans="1:14" ht="24" customHeight="1" outlineLevel="3" x14ac:dyDescent="0.2">
      <c r="A607" s="45">
        <v>15154</v>
      </c>
      <c r="B607" s="37" t="str">
        <f>HYPERLINK("http://sedek.ru/upload/iblock/348/kapusta_nadezhda.jpg","фото")</f>
        <v>фото</v>
      </c>
      <c r="C607" s="38"/>
      <c r="D607" s="38"/>
      <c r="E607" s="39"/>
      <c r="F607" s="39" t="s">
        <v>759</v>
      </c>
      <c r="G607" s="44">
        <v>0.5</v>
      </c>
      <c r="H607" s="39" t="s">
        <v>101</v>
      </c>
      <c r="I607" s="39" t="s">
        <v>287</v>
      </c>
      <c r="J607" s="41">
        <v>2000</v>
      </c>
      <c r="K607" s="42">
        <v>6.5</v>
      </c>
      <c r="L607" s="43"/>
      <c r="M607" s="43">
        <f>L607*K607</f>
        <v>0</v>
      </c>
      <c r="N607" s="35">
        <v>4607149402342</v>
      </c>
    </row>
    <row r="608" spans="1:14" ht="24" customHeight="1" outlineLevel="3" x14ac:dyDescent="0.2">
      <c r="A608" s="45">
        <v>14683</v>
      </c>
      <c r="B608" s="37" t="str">
        <f>HYPERLINK("http://sedek.ru/upload/iblock/ed5/kapusta_nadya_f1.jpg","фото")</f>
        <v>фото</v>
      </c>
      <c r="C608" s="38"/>
      <c r="D608" s="38" t="s">
        <v>266</v>
      </c>
      <c r="E608" s="39"/>
      <c r="F608" s="39" t="s">
        <v>760</v>
      </c>
      <c r="G608" s="40">
        <v>1</v>
      </c>
      <c r="H608" s="39" t="s">
        <v>101</v>
      </c>
      <c r="I608" s="39" t="s">
        <v>102</v>
      </c>
      <c r="J608" s="41">
        <v>1000</v>
      </c>
      <c r="K608" s="42">
        <v>20.5</v>
      </c>
      <c r="L608" s="43"/>
      <c r="M608" s="43">
        <f>L608*K608</f>
        <v>0</v>
      </c>
      <c r="N608" s="35">
        <v>4690368009362</v>
      </c>
    </row>
    <row r="609" spans="1:14" ht="24" customHeight="1" outlineLevel="3" x14ac:dyDescent="0.2">
      <c r="A609" s="45">
        <v>14059</v>
      </c>
      <c r="B609" s="37" t="str">
        <f>HYPERLINK("http://sedek.ru/upload/iblock/bd1/kapusta_naina_f1.jpg","фото")</f>
        <v>фото</v>
      </c>
      <c r="C609" s="38"/>
      <c r="D609" s="38"/>
      <c r="E609" s="39"/>
      <c r="F609" s="39" t="s">
        <v>761</v>
      </c>
      <c r="G609" s="44">
        <v>0.3</v>
      </c>
      <c r="H609" s="39" t="s">
        <v>101</v>
      </c>
      <c r="I609" s="39" t="s">
        <v>102</v>
      </c>
      <c r="J609" s="41">
        <v>2000</v>
      </c>
      <c r="K609" s="42">
        <v>19.5</v>
      </c>
      <c r="L609" s="43"/>
      <c r="M609" s="43">
        <f>L609*K609</f>
        <v>0</v>
      </c>
      <c r="N609" s="35">
        <v>4607015186710</v>
      </c>
    </row>
    <row r="610" spans="1:14" ht="24" customHeight="1" outlineLevel="3" x14ac:dyDescent="0.2">
      <c r="A610" s="45">
        <v>14059</v>
      </c>
      <c r="B610" s="37" t="str">
        <f>HYPERLINK("http://sedek.ru/upload/iblock/bd1/kapusta_naina_f1.jpg","фото")</f>
        <v>фото</v>
      </c>
      <c r="C610" s="38"/>
      <c r="D610" s="38"/>
      <c r="E610" s="39"/>
      <c r="F610" s="39" t="s">
        <v>762</v>
      </c>
      <c r="G610" s="44">
        <v>0.3</v>
      </c>
      <c r="H610" s="39" t="s">
        <v>101</v>
      </c>
      <c r="I610" s="39" t="s">
        <v>287</v>
      </c>
      <c r="J610" s="41">
        <v>2000</v>
      </c>
      <c r="K610" s="42">
        <v>7</v>
      </c>
      <c r="L610" s="43"/>
      <c r="M610" s="43">
        <f>L610*K610</f>
        <v>0</v>
      </c>
      <c r="N610" s="35">
        <v>4690368006170</v>
      </c>
    </row>
    <row r="611" spans="1:14" ht="24" customHeight="1" outlineLevel="3" x14ac:dyDescent="0.2">
      <c r="A611" s="36" t="s">
        <v>763</v>
      </c>
      <c r="B611" s="37" t="str">
        <f>HYPERLINK("http://sedek.ru/upload/iblock/588/kapusta_natasha_f1.jpg","фото")</f>
        <v>фото</v>
      </c>
      <c r="C611" s="38"/>
      <c r="D611" s="38"/>
      <c r="E611" s="39"/>
      <c r="F611" s="39" t="s">
        <v>764</v>
      </c>
      <c r="G611" s="44">
        <v>0.1</v>
      </c>
      <c r="H611" s="39" t="s">
        <v>101</v>
      </c>
      <c r="I611" s="39" t="s">
        <v>102</v>
      </c>
      <c r="J611" s="41">
        <v>2500</v>
      </c>
      <c r="K611" s="42">
        <v>19.5</v>
      </c>
      <c r="L611" s="43"/>
      <c r="M611" s="43">
        <f>L611*K611</f>
        <v>0</v>
      </c>
      <c r="N611" s="35">
        <v>4607149404407</v>
      </c>
    </row>
    <row r="612" spans="1:14" ht="24" customHeight="1" outlineLevel="3" x14ac:dyDescent="0.2">
      <c r="A612" s="45">
        <v>16112</v>
      </c>
      <c r="B612" s="37" t="str">
        <f>HYPERLINK("http://sedek.ru/upload/iblock/619/kapusta_nakhodka.jpg","фото")</f>
        <v>фото</v>
      </c>
      <c r="C612" s="38"/>
      <c r="D612" s="38"/>
      <c r="E612" s="39"/>
      <c r="F612" s="39" t="s">
        <v>765</v>
      </c>
      <c r="G612" s="40">
        <v>1</v>
      </c>
      <c r="H612" s="39" t="s">
        <v>101</v>
      </c>
      <c r="I612" s="39" t="s">
        <v>102</v>
      </c>
      <c r="J612" s="41">
        <v>1000</v>
      </c>
      <c r="K612" s="42">
        <v>19.5</v>
      </c>
      <c r="L612" s="43"/>
      <c r="M612" s="43">
        <f>L612*K612</f>
        <v>0</v>
      </c>
      <c r="N612" s="35">
        <v>4607015186727</v>
      </c>
    </row>
    <row r="613" spans="1:14" ht="24" customHeight="1" outlineLevel="3" x14ac:dyDescent="0.2">
      <c r="A613" s="45">
        <v>16112</v>
      </c>
      <c r="B613" s="37" t="str">
        <f>HYPERLINK("http://sedek.ru/upload/iblock/619/kapusta_nakhodka.jpg","фото")</f>
        <v>фото</v>
      </c>
      <c r="C613" s="38"/>
      <c r="D613" s="38"/>
      <c r="E613" s="39"/>
      <c r="F613" s="39" t="s">
        <v>766</v>
      </c>
      <c r="G613" s="40">
        <v>1</v>
      </c>
      <c r="H613" s="39" t="s">
        <v>101</v>
      </c>
      <c r="I613" s="39" t="s">
        <v>287</v>
      </c>
      <c r="J613" s="41">
        <v>1000</v>
      </c>
      <c r="K613" s="42">
        <v>6.8</v>
      </c>
      <c r="L613" s="43"/>
      <c r="M613" s="43">
        <f>L613*K613</f>
        <v>0</v>
      </c>
      <c r="N613" s="35">
        <v>4607149402816</v>
      </c>
    </row>
    <row r="614" spans="1:14" ht="24" customHeight="1" outlineLevel="3" x14ac:dyDescent="0.2">
      <c r="A614" s="36" t="s">
        <v>767</v>
      </c>
      <c r="B614" s="37" t="str">
        <f>HYPERLINK("http://sedek.ru/upload/iblock/1ef/kapusta_nevestka_f1.jpg","фото")</f>
        <v>фото</v>
      </c>
      <c r="C614" s="38"/>
      <c r="D614" s="38"/>
      <c r="E614" s="39"/>
      <c r="F614" s="39" t="s">
        <v>768</v>
      </c>
      <c r="G614" s="44">
        <v>0.1</v>
      </c>
      <c r="H614" s="39" t="s">
        <v>101</v>
      </c>
      <c r="I614" s="39" t="s">
        <v>102</v>
      </c>
      <c r="J614" s="41">
        <v>2500</v>
      </c>
      <c r="K614" s="42">
        <v>20.5</v>
      </c>
      <c r="L614" s="43"/>
      <c r="M614" s="43">
        <f>L614*K614</f>
        <v>0</v>
      </c>
      <c r="N614" s="35">
        <v>4607149404490</v>
      </c>
    </row>
    <row r="615" spans="1:14" ht="24" customHeight="1" outlineLevel="3" x14ac:dyDescent="0.2">
      <c r="A615" s="45">
        <v>13836</v>
      </c>
      <c r="B615" s="37" t="str">
        <f>HYPERLINK("http://sedek.ru/upload/iblock/c5e/kapusta_nezhnost_f1.jpg","фото")</f>
        <v>фото</v>
      </c>
      <c r="C615" s="38"/>
      <c r="D615" s="38"/>
      <c r="E615" s="39"/>
      <c r="F615" s="39" t="s">
        <v>769</v>
      </c>
      <c r="G615" s="44">
        <v>0.3</v>
      </c>
      <c r="H615" s="39" t="s">
        <v>101</v>
      </c>
      <c r="I615" s="39" t="s">
        <v>102</v>
      </c>
      <c r="J615" s="41">
        <v>2000</v>
      </c>
      <c r="K615" s="42">
        <v>16.899999999999999</v>
      </c>
      <c r="L615" s="43"/>
      <c r="M615" s="43">
        <f>L615*K615</f>
        <v>0</v>
      </c>
      <c r="N615" s="35">
        <v>4690368017077</v>
      </c>
    </row>
    <row r="616" spans="1:14" ht="24" customHeight="1" outlineLevel="3" x14ac:dyDescent="0.2">
      <c r="A616" s="36" t="s">
        <v>770</v>
      </c>
      <c r="B616" s="37" t="str">
        <f>HYPERLINK("http://www.sedek.ru/upload/iblock/a22/kapusta_nitstsa_f1_kol.jpg","фото")</f>
        <v>фото</v>
      </c>
      <c r="C616" s="38"/>
      <c r="D616" s="38"/>
      <c r="E616" s="39"/>
      <c r="F616" s="39" t="s">
        <v>771</v>
      </c>
      <c r="G616" s="54">
        <v>0.05</v>
      </c>
      <c r="H616" s="39" t="s">
        <v>101</v>
      </c>
      <c r="I616" s="39" t="s">
        <v>102</v>
      </c>
      <c r="J616" s="41">
        <v>1000</v>
      </c>
      <c r="K616" s="42">
        <v>33.4</v>
      </c>
      <c r="L616" s="43"/>
      <c r="M616" s="43">
        <f>L616*K616</f>
        <v>0</v>
      </c>
      <c r="N616" s="35">
        <v>4690368032827</v>
      </c>
    </row>
    <row r="617" spans="1:14" ht="24" customHeight="1" outlineLevel="3" x14ac:dyDescent="0.2">
      <c r="A617" s="45">
        <v>14036</v>
      </c>
      <c r="B617" s="37" t="str">
        <f>HYPERLINK("http://www.sedek.ru/upload/iblock/079/kapusta_nomer_pervyy_gribovskiy_147.jpg","фото")</f>
        <v>фото</v>
      </c>
      <c r="C617" s="38"/>
      <c r="D617" s="38"/>
      <c r="E617" s="39"/>
      <c r="F617" s="39" t="s">
        <v>772</v>
      </c>
      <c r="G617" s="44">
        <v>0.5</v>
      </c>
      <c r="H617" s="39" t="s">
        <v>101</v>
      </c>
      <c r="I617" s="39" t="s">
        <v>102</v>
      </c>
      <c r="J617" s="41">
        <v>2000</v>
      </c>
      <c r="K617" s="42">
        <v>15.6</v>
      </c>
      <c r="L617" s="43"/>
      <c r="M617" s="43">
        <f>L617*K617</f>
        <v>0</v>
      </c>
      <c r="N617" s="35">
        <v>4607015181609</v>
      </c>
    </row>
    <row r="618" spans="1:14" ht="24" customHeight="1" outlineLevel="3" x14ac:dyDescent="0.2">
      <c r="A618" s="36" t="s">
        <v>773</v>
      </c>
      <c r="B618" s="37" t="str">
        <f>HYPERLINK("http://www.sedek.ru/upload/iblock/e23/kapusta_oliver_listovaya_keyl.jpg","фото")</f>
        <v>фото</v>
      </c>
      <c r="C618" s="38" t="s">
        <v>266</v>
      </c>
      <c r="D618" s="38"/>
      <c r="E618" s="39"/>
      <c r="F618" s="39" t="s">
        <v>774</v>
      </c>
      <c r="G618" s="44">
        <v>0.3</v>
      </c>
      <c r="H618" s="39" t="s">
        <v>101</v>
      </c>
      <c r="I618" s="39" t="s">
        <v>102</v>
      </c>
      <c r="J618" s="41">
        <v>2000</v>
      </c>
      <c r="K618" s="42">
        <v>20</v>
      </c>
      <c r="L618" s="43"/>
      <c r="M618" s="43">
        <f>L618*K618</f>
        <v>0</v>
      </c>
      <c r="N618" s="35">
        <v>4690368037778</v>
      </c>
    </row>
    <row r="619" spans="1:14" ht="24" customHeight="1" outlineLevel="3" x14ac:dyDescent="0.2">
      <c r="A619" s="45">
        <v>15970</v>
      </c>
      <c r="B619" s="37" t="str">
        <f>HYPERLINK("http://sedek.ru/upload/iblock/fd9/kapusta_oranzhevoe_serdtse_f1.jpg","фото")</f>
        <v>фото</v>
      </c>
      <c r="C619" s="38"/>
      <c r="D619" s="38" t="s">
        <v>266</v>
      </c>
      <c r="E619" s="39"/>
      <c r="F619" s="39" t="s">
        <v>775</v>
      </c>
      <c r="G619" s="44">
        <v>0.3</v>
      </c>
      <c r="H619" s="39" t="s">
        <v>101</v>
      </c>
      <c r="I619" s="39" t="s">
        <v>102</v>
      </c>
      <c r="J619" s="41">
        <v>2000</v>
      </c>
      <c r="K619" s="42">
        <v>25.9</v>
      </c>
      <c r="L619" s="43"/>
      <c r="M619" s="43">
        <f>L619*K619</f>
        <v>0</v>
      </c>
      <c r="N619" s="35">
        <v>4607015186734</v>
      </c>
    </row>
    <row r="620" spans="1:14" ht="24" customHeight="1" outlineLevel="3" x14ac:dyDescent="0.2">
      <c r="A620" s="45">
        <v>13514</v>
      </c>
      <c r="B620" s="37" t="str">
        <f>HYPERLINK("http://sedek.ru/upload/iblock/4b9/kapusta_osenniy_gigant.jpg","фото")</f>
        <v>фото</v>
      </c>
      <c r="C620" s="38"/>
      <c r="D620" s="38"/>
      <c r="E620" s="39"/>
      <c r="F620" s="39" t="s">
        <v>776</v>
      </c>
      <c r="G620" s="44">
        <v>0.5</v>
      </c>
      <c r="H620" s="39" t="s">
        <v>101</v>
      </c>
      <c r="I620" s="39" t="s">
        <v>102</v>
      </c>
      <c r="J620" s="41">
        <v>2000</v>
      </c>
      <c r="K620" s="42">
        <v>20.5</v>
      </c>
      <c r="L620" s="43"/>
      <c r="M620" s="43">
        <f>L620*K620</f>
        <v>0</v>
      </c>
      <c r="N620" s="35">
        <v>4607015186741</v>
      </c>
    </row>
    <row r="621" spans="1:14" ht="24" customHeight="1" outlineLevel="3" x14ac:dyDescent="0.2">
      <c r="A621" s="45">
        <v>13514</v>
      </c>
      <c r="B621" s="37" t="str">
        <f>HYPERLINK("http://sedek.ru/upload/iblock/4b9/kapusta_osenniy_gigant.jpg","фото")</f>
        <v>фото</v>
      </c>
      <c r="C621" s="38"/>
      <c r="D621" s="38"/>
      <c r="E621" s="39"/>
      <c r="F621" s="39" t="s">
        <v>777</v>
      </c>
      <c r="G621" s="44">
        <v>0.5</v>
      </c>
      <c r="H621" s="39" t="s">
        <v>101</v>
      </c>
      <c r="I621" s="39" t="s">
        <v>287</v>
      </c>
      <c r="J621" s="41">
        <v>2000</v>
      </c>
      <c r="K621" s="42">
        <v>8</v>
      </c>
      <c r="L621" s="43"/>
      <c r="M621" s="43">
        <f>L621*K621</f>
        <v>0</v>
      </c>
      <c r="N621" s="35">
        <v>4607149408801</v>
      </c>
    </row>
    <row r="622" spans="1:14" ht="24" customHeight="1" outlineLevel="3" x14ac:dyDescent="0.2">
      <c r="A622" s="45">
        <v>13965</v>
      </c>
      <c r="B622" s="37" t="str">
        <f>HYPERLINK("http://sedek.ru/upload/iblock/e08/kapusta_osenniy_nefrit_f1.jpg","фото")</f>
        <v>фото</v>
      </c>
      <c r="C622" s="38"/>
      <c r="D622" s="38"/>
      <c r="E622" s="39"/>
      <c r="F622" s="39" t="s">
        <v>778</v>
      </c>
      <c r="G622" s="44">
        <v>0.5</v>
      </c>
      <c r="H622" s="39" t="s">
        <v>101</v>
      </c>
      <c r="I622" s="39" t="s">
        <v>102</v>
      </c>
      <c r="J622" s="41">
        <v>2000</v>
      </c>
      <c r="K622" s="42">
        <v>20.5</v>
      </c>
      <c r="L622" s="43"/>
      <c r="M622" s="43">
        <f>L622*K622</f>
        <v>0</v>
      </c>
      <c r="N622" s="35">
        <v>4607116267264</v>
      </c>
    </row>
    <row r="623" spans="1:14" ht="24" customHeight="1" outlineLevel="3" x14ac:dyDescent="0.2">
      <c r="A623" s="45">
        <v>15180</v>
      </c>
      <c r="B623" s="37" t="str">
        <f>HYPERLINK("http://sedek.ru/upload/iblock/31e/kapusta_osennyaya_krasavitsa_f1.jpg","фото")</f>
        <v>фото</v>
      </c>
      <c r="C623" s="38"/>
      <c r="D623" s="38"/>
      <c r="E623" s="39"/>
      <c r="F623" s="39" t="s">
        <v>779</v>
      </c>
      <c r="G623" s="44">
        <v>0.3</v>
      </c>
      <c r="H623" s="39" t="s">
        <v>101</v>
      </c>
      <c r="I623" s="39" t="s">
        <v>102</v>
      </c>
      <c r="J623" s="41">
        <v>2000</v>
      </c>
      <c r="K623" s="42">
        <v>20.5</v>
      </c>
      <c r="L623" s="43"/>
      <c r="M623" s="43">
        <f>L623*K623</f>
        <v>0</v>
      </c>
      <c r="N623" s="35">
        <v>4607149404469</v>
      </c>
    </row>
    <row r="624" spans="1:14" ht="24" customHeight="1" outlineLevel="3" x14ac:dyDescent="0.2">
      <c r="A624" s="45">
        <v>15180</v>
      </c>
      <c r="B624" s="37" t="str">
        <f>HYPERLINK("http://sedek.ru/upload/iblock/31e/kapusta_osennyaya_krasavitsa_f1.jpg","фото")</f>
        <v>фото</v>
      </c>
      <c r="C624" s="38"/>
      <c r="D624" s="38"/>
      <c r="E624" s="39"/>
      <c r="F624" s="39" t="s">
        <v>780</v>
      </c>
      <c r="G624" s="44">
        <v>0.3</v>
      </c>
      <c r="H624" s="39" t="s">
        <v>101</v>
      </c>
      <c r="I624" s="39" t="s">
        <v>287</v>
      </c>
      <c r="J624" s="41">
        <v>2000</v>
      </c>
      <c r="K624" s="42">
        <v>7</v>
      </c>
      <c r="L624" s="43"/>
      <c r="M624" s="43">
        <f>L624*K624</f>
        <v>0</v>
      </c>
      <c r="N624" s="35">
        <v>4607149408306</v>
      </c>
    </row>
    <row r="625" spans="1:14" ht="24" customHeight="1" outlineLevel="3" x14ac:dyDescent="0.2">
      <c r="A625" s="45">
        <v>13891</v>
      </c>
      <c r="B625" s="37" t="str">
        <f>HYPERLINK("http://sedek.ru/upload/iblock/865/kapusta_osennyaya_prevoskhodnaya_f1.jpg","фото")</f>
        <v>фото</v>
      </c>
      <c r="C625" s="38"/>
      <c r="D625" s="38"/>
      <c r="E625" s="39"/>
      <c r="F625" s="39" t="s">
        <v>781</v>
      </c>
      <c r="G625" s="44">
        <v>0.3</v>
      </c>
      <c r="H625" s="39" t="s">
        <v>101</v>
      </c>
      <c r="I625" s="39" t="s">
        <v>102</v>
      </c>
      <c r="J625" s="41">
        <v>2000</v>
      </c>
      <c r="K625" s="42">
        <v>20.5</v>
      </c>
      <c r="L625" s="43"/>
      <c r="M625" s="43">
        <f>L625*K625</f>
        <v>0</v>
      </c>
      <c r="N625" s="35">
        <v>4607116267271</v>
      </c>
    </row>
    <row r="626" spans="1:14" ht="24" customHeight="1" outlineLevel="3" x14ac:dyDescent="0.2">
      <c r="A626" s="45">
        <v>16384</v>
      </c>
      <c r="B626" s="37" t="str">
        <f>HYPERLINK("http://www.sedek.ru/upload/iblock/82f/kapusta_otechestvennaya_tsvetnaya.jpg","фото")</f>
        <v>фото</v>
      </c>
      <c r="C626" s="38"/>
      <c r="D626" s="38"/>
      <c r="E626" s="39"/>
      <c r="F626" s="39" t="s">
        <v>782</v>
      </c>
      <c r="G626" s="44">
        <v>0.5</v>
      </c>
      <c r="H626" s="39" t="s">
        <v>101</v>
      </c>
      <c r="I626" s="39" t="s">
        <v>102</v>
      </c>
      <c r="J626" s="41">
        <v>2000</v>
      </c>
      <c r="K626" s="42">
        <v>19.3</v>
      </c>
      <c r="L626" s="43"/>
      <c r="M626" s="43">
        <f>L626*K626</f>
        <v>0</v>
      </c>
      <c r="N626" s="35">
        <v>4607149400829</v>
      </c>
    </row>
    <row r="627" spans="1:14" ht="24" customHeight="1" outlineLevel="3" x14ac:dyDescent="0.2">
      <c r="A627" s="45">
        <v>16384</v>
      </c>
      <c r="B627" s="37" t="str">
        <f>HYPERLINK("http://www.sedek.ru/upload/iblock/82f/kapusta_otechestvennaya_tsvetnaya.jpg","фото")</f>
        <v>фото</v>
      </c>
      <c r="C627" s="38"/>
      <c r="D627" s="38"/>
      <c r="E627" s="39"/>
      <c r="F627" s="39" t="s">
        <v>783</v>
      </c>
      <c r="G627" s="44">
        <v>0.5</v>
      </c>
      <c r="H627" s="39" t="s">
        <v>101</v>
      </c>
      <c r="I627" s="39" t="s">
        <v>287</v>
      </c>
      <c r="J627" s="41">
        <v>2000</v>
      </c>
      <c r="K627" s="42">
        <v>7</v>
      </c>
      <c r="L627" s="43"/>
      <c r="M627" s="43">
        <f>L627*K627</f>
        <v>0</v>
      </c>
      <c r="N627" s="35">
        <v>4690368019538</v>
      </c>
    </row>
    <row r="628" spans="1:14" ht="24" customHeight="1" outlineLevel="3" x14ac:dyDescent="0.2">
      <c r="A628" s="45">
        <v>13975</v>
      </c>
      <c r="B628" s="37" t="str">
        <f>HYPERLINK("http://sedek.ru/upload/iblock/eb5/kapusta_pervaya_lyubov_f1.jpg","фото")</f>
        <v>фото</v>
      </c>
      <c r="C628" s="38"/>
      <c r="D628" s="38"/>
      <c r="E628" s="39"/>
      <c r="F628" s="39" t="s">
        <v>784</v>
      </c>
      <c r="G628" s="44">
        <v>0.3</v>
      </c>
      <c r="H628" s="39" t="s">
        <v>101</v>
      </c>
      <c r="I628" s="39" t="s">
        <v>102</v>
      </c>
      <c r="J628" s="41">
        <v>2000</v>
      </c>
      <c r="K628" s="42">
        <v>23.9</v>
      </c>
      <c r="L628" s="43"/>
      <c r="M628" s="43">
        <f>L628*K628</f>
        <v>0</v>
      </c>
      <c r="N628" s="35">
        <v>4607149404476</v>
      </c>
    </row>
    <row r="629" spans="1:14" ht="24" customHeight="1" outlineLevel="3" x14ac:dyDescent="0.2">
      <c r="A629" s="45">
        <v>13864</v>
      </c>
      <c r="B629" s="37" t="str">
        <f>HYPERLINK("http://sedek.ru/upload/iblock/ab5/kapusta_pervye_vitaminy_f1.jpg","фото")</f>
        <v>фото</v>
      </c>
      <c r="C629" s="38"/>
      <c r="D629" s="38"/>
      <c r="E629" s="39"/>
      <c r="F629" s="39" t="s">
        <v>785</v>
      </c>
      <c r="G629" s="44">
        <v>0.3</v>
      </c>
      <c r="H629" s="39" t="s">
        <v>101</v>
      </c>
      <c r="I629" s="39" t="s">
        <v>102</v>
      </c>
      <c r="J629" s="41">
        <v>2000</v>
      </c>
      <c r="K629" s="42">
        <v>20.5</v>
      </c>
      <c r="L629" s="43"/>
      <c r="M629" s="43">
        <f>L629*K629</f>
        <v>0</v>
      </c>
      <c r="N629" s="35">
        <v>4690368009379</v>
      </c>
    </row>
    <row r="630" spans="1:14" ht="12" customHeight="1" outlineLevel="3" x14ac:dyDescent="0.2">
      <c r="A630" s="45">
        <v>16426</v>
      </c>
      <c r="B630" s="37" t="str">
        <f>HYPERLINK("http://sedek.ru/upload/iblock/0b1/kapusta_pikant.jpg","фото")</f>
        <v>фото</v>
      </c>
      <c r="C630" s="38"/>
      <c r="D630" s="38"/>
      <c r="E630" s="39"/>
      <c r="F630" s="39" t="s">
        <v>786</v>
      </c>
      <c r="G630" s="40">
        <v>1</v>
      </c>
      <c r="H630" s="39" t="s">
        <v>101</v>
      </c>
      <c r="I630" s="39" t="s">
        <v>102</v>
      </c>
      <c r="J630" s="41">
        <v>1000</v>
      </c>
      <c r="K630" s="42">
        <v>19.5</v>
      </c>
      <c r="L630" s="43"/>
      <c r="M630" s="43">
        <f>L630*K630</f>
        <v>0</v>
      </c>
      <c r="N630" s="35">
        <v>4607015186765</v>
      </c>
    </row>
    <row r="631" spans="1:14" ht="12" customHeight="1" outlineLevel="3" x14ac:dyDescent="0.2">
      <c r="A631" s="45">
        <v>16426</v>
      </c>
      <c r="B631" s="37" t="str">
        <f>HYPERLINK("http://sedek.ru/upload/iblock/0b1/kapusta_pikant.jpg","фото")</f>
        <v>фото</v>
      </c>
      <c r="C631" s="38"/>
      <c r="D631" s="38"/>
      <c r="E631" s="39"/>
      <c r="F631" s="39" t="s">
        <v>787</v>
      </c>
      <c r="G631" s="40">
        <v>1</v>
      </c>
      <c r="H631" s="39" t="s">
        <v>101</v>
      </c>
      <c r="I631" s="39" t="s">
        <v>287</v>
      </c>
      <c r="J631" s="41">
        <v>1000</v>
      </c>
      <c r="K631" s="42">
        <v>7</v>
      </c>
      <c r="L631" s="43"/>
      <c r="M631" s="43">
        <f>L631*K631</f>
        <v>0</v>
      </c>
      <c r="N631" s="35">
        <v>4607149408818</v>
      </c>
    </row>
    <row r="632" spans="1:14" ht="24" customHeight="1" outlineLevel="3" x14ac:dyDescent="0.2">
      <c r="A632" s="45">
        <v>16105</v>
      </c>
      <c r="B632" s="37" t="str">
        <f>HYPERLINK("http://sedek.ru/upload/iblock/323/kapusta_pirozhkovaya.JPG","фото")</f>
        <v>фото</v>
      </c>
      <c r="C632" s="38"/>
      <c r="D632" s="38"/>
      <c r="E632" s="39"/>
      <c r="F632" s="39" t="s">
        <v>788</v>
      </c>
      <c r="G632" s="44">
        <v>0.5</v>
      </c>
      <c r="H632" s="39" t="s">
        <v>101</v>
      </c>
      <c r="I632" s="39" t="s">
        <v>102</v>
      </c>
      <c r="J632" s="41">
        <v>2000</v>
      </c>
      <c r="K632" s="42">
        <v>27.2</v>
      </c>
      <c r="L632" s="43"/>
      <c r="M632" s="43">
        <f>L632*K632</f>
        <v>0</v>
      </c>
      <c r="N632" s="35">
        <v>4607149404414</v>
      </c>
    </row>
    <row r="633" spans="1:14" ht="24" customHeight="1" outlineLevel="3" x14ac:dyDescent="0.2">
      <c r="A633" s="45">
        <v>16105</v>
      </c>
      <c r="B633" s="37" t="str">
        <f>HYPERLINK("http://sedek.ru/upload/iblock/323/kapusta_pirozhkovaya.JPG","фото")</f>
        <v>фото</v>
      </c>
      <c r="C633" s="38"/>
      <c r="D633" s="38"/>
      <c r="E633" s="39"/>
      <c r="F633" s="39" t="s">
        <v>789</v>
      </c>
      <c r="G633" s="44">
        <v>0.5</v>
      </c>
      <c r="H633" s="39" t="s">
        <v>101</v>
      </c>
      <c r="I633" s="39" t="s">
        <v>287</v>
      </c>
      <c r="J633" s="41">
        <v>2000</v>
      </c>
      <c r="K633" s="42">
        <v>7.3</v>
      </c>
      <c r="L633" s="43"/>
      <c r="M633" s="43">
        <f>L633*K633</f>
        <v>0</v>
      </c>
      <c r="N633" s="35">
        <v>4607149405428</v>
      </c>
    </row>
    <row r="634" spans="1:14" ht="24" customHeight="1" outlineLevel="3" x14ac:dyDescent="0.2">
      <c r="A634" s="45">
        <v>14412</v>
      </c>
      <c r="B634" s="37" t="str">
        <f>HYPERLINK("http://www.sedek.ru/upload/iblock/ec6/kapusta_podarok.jpg","фото")</f>
        <v>фото</v>
      </c>
      <c r="C634" s="38"/>
      <c r="D634" s="38"/>
      <c r="E634" s="39"/>
      <c r="F634" s="39" t="s">
        <v>790</v>
      </c>
      <c r="G634" s="44">
        <v>0.5</v>
      </c>
      <c r="H634" s="39" t="s">
        <v>101</v>
      </c>
      <c r="I634" s="39" t="s">
        <v>102</v>
      </c>
      <c r="J634" s="41">
        <v>2000</v>
      </c>
      <c r="K634" s="42">
        <v>15.6</v>
      </c>
      <c r="L634" s="43"/>
      <c r="M634" s="43">
        <f>L634*K634</f>
        <v>0</v>
      </c>
      <c r="N634" s="35">
        <v>4607015186772</v>
      </c>
    </row>
    <row r="635" spans="1:14" ht="24" customHeight="1" outlineLevel="3" x14ac:dyDescent="0.2">
      <c r="A635" s="45">
        <v>14412</v>
      </c>
      <c r="B635" s="37" t="str">
        <f>HYPERLINK("http://www.sedek.ru/upload/iblock/ec6/kapusta_podarok.jpg","фото")</f>
        <v>фото</v>
      </c>
      <c r="C635" s="38"/>
      <c r="D635" s="38"/>
      <c r="E635" s="39"/>
      <c r="F635" s="39" t="s">
        <v>791</v>
      </c>
      <c r="G635" s="44">
        <v>0.5</v>
      </c>
      <c r="H635" s="39" t="s">
        <v>101</v>
      </c>
      <c r="I635" s="39" t="s">
        <v>287</v>
      </c>
      <c r="J635" s="41">
        <v>2000</v>
      </c>
      <c r="K635" s="42">
        <v>6.8</v>
      </c>
      <c r="L635" s="43"/>
      <c r="M635" s="43">
        <f>L635*K635</f>
        <v>0</v>
      </c>
      <c r="N635" s="35">
        <v>4607149406418</v>
      </c>
    </row>
    <row r="636" spans="1:14" ht="24" customHeight="1" outlineLevel="3" x14ac:dyDescent="0.2">
      <c r="A636" s="45">
        <v>15189</v>
      </c>
      <c r="B636" s="37" t="str">
        <f>HYPERLINK("http://sedek.ru/upload/iblock/66f/kapusta_prestizh_f1.jpg","фото")</f>
        <v>фото</v>
      </c>
      <c r="C636" s="38"/>
      <c r="D636" s="38"/>
      <c r="E636" s="39"/>
      <c r="F636" s="39" t="s">
        <v>792</v>
      </c>
      <c r="G636" s="44">
        <v>0.1</v>
      </c>
      <c r="H636" s="39" t="s">
        <v>101</v>
      </c>
      <c r="I636" s="39" t="s">
        <v>102</v>
      </c>
      <c r="J636" s="41">
        <v>2500</v>
      </c>
      <c r="K636" s="42">
        <v>24.2</v>
      </c>
      <c r="L636" s="43"/>
      <c r="M636" s="43">
        <f>L636*K636</f>
        <v>0</v>
      </c>
      <c r="N636" s="35">
        <v>4690368012805</v>
      </c>
    </row>
    <row r="637" spans="1:14" ht="24" customHeight="1" outlineLevel="3" x14ac:dyDescent="0.2">
      <c r="A637" s="45">
        <v>16545</v>
      </c>
      <c r="B637" s="37" t="str">
        <f>HYPERLINK("http://sedek.ru/upload/iblock/134/kapusta_printsessa_rannego_rynka_f1.jpg","фото")</f>
        <v>фото</v>
      </c>
      <c r="C637" s="38"/>
      <c r="D637" s="38"/>
      <c r="E637" s="39"/>
      <c r="F637" s="39" t="s">
        <v>793</v>
      </c>
      <c r="G637" s="54">
        <v>0.25</v>
      </c>
      <c r="H637" s="39" t="s">
        <v>101</v>
      </c>
      <c r="I637" s="39" t="s">
        <v>102</v>
      </c>
      <c r="J637" s="41">
        <v>2000</v>
      </c>
      <c r="K637" s="42">
        <v>21.9</v>
      </c>
      <c r="L637" s="43"/>
      <c r="M637" s="43">
        <f>L637*K637</f>
        <v>0</v>
      </c>
      <c r="N637" s="35">
        <v>4607116267592</v>
      </c>
    </row>
    <row r="638" spans="1:14" ht="24" customHeight="1" outlineLevel="3" x14ac:dyDescent="0.2">
      <c r="A638" s="36" t="s">
        <v>794</v>
      </c>
      <c r="B638" s="37" t="str">
        <f>HYPERLINK("http://www.sedek.ru/upload/iblock/f06/kapusta_f1_prometey_krasnokochannaya.jpg","Фото")</f>
        <v>Фото</v>
      </c>
      <c r="C638" s="38"/>
      <c r="D638" s="38"/>
      <c r="E638" s="39"/>
      <c r="F638" s="39" t="s">
        <v>795</v>
      </c>
      <c r="G638" s="54">
        <v>0.05</v>
      </c>
      <c r="H638" s="39" t="s">
        <v>101</v>
      </c>
      <c r="I638" s="39" t="s">
        <v>102</v>
      </c>
      <c r="J638" s="41">
        <v>5000</v>
      </c>
      <c r="K638" s="42">
        <v>33.4</v>
      </c>
      <c r="L638" s="43"/>
      <c r="M638" s="43">
        <f>L638*K638</f>
        <v>0</v>
      </c>
      <c r="N638" s="35">
        <v>4690368030274</v>
      </c>
    </row>
    <row r="639" spans="1:14" ht="24" customHeight="1" outlineLevel="3" x14ac:dyDescent="0.2">
      <c r="A639" s="45">
        <v>16785</v>
      </c>
      <c r="B639" s="37" t="str">
        <f>HYPERLINK("http://sedek.ru/upload/iblock/67a/kapusta_purpurnaya_golovushka_.jpg","фото")</f>
        <v>фото</v>
      </c>
      <c r="C639" s="38"/>
      <c r="D639" s="38"/>
      <c r="E639" s="39"/>
      <c r="F639" s="39" t="s">
        <v>796</v>
      </c>
      <c r="G639" s="44">
        <v>0.5</v>
      </c>
      <c r="H639" s="39" t="s">
        <v>101</v>
      </c>
      <c r="I639" s="39" t="s">
        <v>102</v>
      </c>
      <c r="J639" s="41">
        <v>2000</v>
      </c>
      <c r="K639" s="42">
        <v>20</v>
      </c>
      <c r="L639" s="43"/>
      <c r="M639" s="43">
        <f>L639*K639</f>
        <v>0</v>
      </c>
      <c r="N639" s="35">
        <v>4690368025331</v>
      </c>
    </row>
    <row r="640" spans="1:14" ht="24" customHeight="1" outlineLevel="3" x14ac:dyDescent="0.2">
      <c r="A640" s="45">
        <v>14859</v>
      </c>
      <c r="B640" s="37" t="str">
        <f>HYPERLINK("http://sedek.ru/upload/iblock/fd8/kapusta_raznosol_f1.jpg","фото")</f>
        <v>фото</v>
      </c>
      <c r="C640" s="38"/>
      <c r="D640" s="38"/>
      <c r="E640" s="39"/>
      <c r="F640" s="39" t="s">
        <v>797</v>
      </c>
      <c r="G640" s="44">
        <v>0.1</v>
      </c>
      <c r="H640" s="39"/>
      <c r="I640" s="39" t="s">
        <v>102</v>
      </c>
      <c r="J640" s="41">
        <v>2000</v>
      </c>
      <c r="K640" s="42">
        <v>27.9</v>
      </c>
      <c r="L640" s="43"/>
      <c r="M640" s="43">
        <f>L640*K640</f>
        <v>0</v>
      </c>
      <c r="N640" s="35">
        <v>4607015186789</v>
      </c>
    </row>
    <row r="641" spans="1:14" ht="36" customHeight="1" outlineLevel="3" x14ac:dyDescent="0.2">
      <c r="A641" s="45">
        <v>14830</v>
      </c>
      <c r="B641" s="37" t="str">
        <f>HYPERLINK("http://sedek.ru/upload/iblock/a78/kapusta_rannyaya_fantaziya_f1.jpg","фото")</f>
        <v>фото</v>
      </c>
      <c r="C641" s="38"/>
      <c r="D641" s="38"/>
      <c r="E641" s="39"/>
      <c r="F641" s="39" t="s">
        <v>798</v>
      </c>
      <c r="G641" s="44">
        <v>0.3</v>
      </c>
      <c r="H641" s="39" t="s">
        <v>101</v>
      </c>
      <c r="I641" s="39" t="s">
        <v>102</v>
      </c>
      <c r="J641" s="41">
        <v>2000</v>
      </c>
      <c r="K641" s="42">
        <v>20</v>
      </c>
      <c r="L641" s="43"/>
      <c r="M641" s="43">
        <f>L641*K641</f>
        <v>0</v>
      </c>
      <c r="N641" s="35">
        <v>4690368005760</v>
      </c>
    </row>
    <row r="642" spans="1:14" ht="24" customHeight="1" outlineLevel="3" x14ac:dyDescent="0.2">
      <c r="A642" s="45">
        <v>15848</v>
      </c>
      <c r="B642" s="37" t="str">
        <f>HYPERLINK("http://sedek.ru/upload/iblock/554/kapusta_rinda_f1.jpg","фото")</f>
        <v>фото</v>
      </c>
      <c r="C642" s="38"/>
      <c r="D642" s="38"/>
      <c r="E642" s="39"/>
      <c r="F642" s="39" t="s">
        <v>799</v>
      </c>
      <c r="G642" s="40">
        <v>10</v>
      </c>
      <c r="H642" s="39" t="s">
        <v>307</v>
      </c>
      <c r="I642" s="39" t="s">
        <v>102</v>
      </c>
      <c r="J642" s="41">
        <v>5000</v>
      </c>
      <c r="K642" s="42">
        <v>44.9</v>
      </c>
      <c r="L642" s="43"/>
      <c r="M642" s="43">
        <f>L642*K642</f>
        <v>0</v>
      </c>
      <c r="N642" s="35">
        <v>4607015186802</v>
      </c>
    </row>
    <row r="643" spans="1:14" ht="24" customHeight="1" outlineLevel="3" x14ac:dyDescent="0.2">
      <c r="A643" s="45">
        <v>14173</v>
      </c>
      <c r="B643" s="37" t="str">
        <f>HYPERLINK("http://sedek.ru/upload/iblock/bb5/kapusta_robert.jpg","фото")</f>
        <v>фото</v>
      </c>
      <c r="C643" s="38"/>
      <c r="D643" s="38"/>
      <c r="E643" s="39"/>
      <c r="F643" s="39" t="s">
        <v>800</v>
      </c>
      <c r="G643" s="44">
        <v>0.5</v>
      </c>
      <c r="H643" s="39" t="s">
        <v>101</v>
      </c>
      <c r="I643" s="39" t="s">
        <v>102</v>
      </c>
      <c r="J643" s="41">
        <v>2000</v>
      </c>
      <c r="K643" s="42">
        <v>19.3</v>
      </c>
      <c r="L643" s="43"/>
      <c r="M643" s="43">
        <f>L643*K643</f>
        <v>0</v>
      </c>
      <c r="N643" s="35">
        <v>4607015186819</v>
      </c>
    </row>
    <row r="644" spans="1:14" ht="24" customHeight="1" outlineLevel="3" x14ac:dyDescent="0.2">
      <c r="A644" s="45">
        <v>14173</v>
      </c>
      <c r="B644" s="37" t="str">
        <f>HYPERLINK("http://sedek.ru/upload/iblock/bb5/kapusta_robert.jpg","фото")</f>
        <v>фото</v>
      </c>
      <c r="C644" s="38"/>
      <c r="D644" s="38"/>
      <c r="E644" s="39"/>
      <c r="F644" s="39" t="s">
        <v>801</v>
      </c>
      <c r="G644" s="44">
        <v>0.5</v>
      </c>
      <c r="H644" s="39" t="s">
        <v>101</v>
      </c>
      <c r="I644" s="39" t="s">
        <v>287</v>
      </c>
      <c r="J644" s="41">
        <v>2000</v>
      </c>
      <c r="K644" s="42">
        <v>10.6</v>
      </c>
      <c r="L644" s="43"/>
      <c r="M644" s="43">
        <f>L644*K644</f>
        <v>0</v>
      </c>
      <c r="N644" s="35">
        <v>4690368004541</v>
      </c>
    </row>
    <row r="645" spans="1:14" ht="24" customHeight="1" outlineLevel="3" x14ac:dyDescent="0.2">
      <c r="A645" s="36" t="s">
        <v>802</v>
      </c>
      <c r="B645" s="37" t="str">
        <f>HYPERLINK("http://www.sedek.ru/upload/iblock/e6d/kapusta_rozmari_listovaya_keyl.jpg","фото")</f>
        <v>фото</v>
      </c>
      <c r="C645" s="38" t="s">
        <v>266</v>
      </c>
      <c r="D645" s="38" t="s">
        <v>266</v>
      </c>
      <c r="E645" s="39"/>
      <c r="F645" s="39" t="s">
        <v>803</v>
      </c>
      <c r="G645" s="44">
        <v>0.3</v>
      </c>
      <c r="H645" s="39" t="s">
        <v>101</v>
      </c>
      <c r="I645" s="39" t="s">
        <v>102</v>
      </c>
      <c r="J645" s="41">
        <v>2000</v>
      </c>
      <c r="K645" s="42">
        <v>24.5</v>
      </c>
      <c r="L645" s="43"/>
      <c r="M645" s="43">
        <f>L645*K645</f>
        <v>0</v>
      </c>
      <c r="N645" s="35">
        <v>4690368037785</v>
      </c>
    </row>
    <row r="646" spans="1:14" ht="12" customHeight="1" outlineLevel="3" x14ac:dyDescent="0.2">
      <c r="A646" s="45">
        <v>16492</v>
      </c>
      <c r="B646" s="37" t="str">
        <f>HYPERLINK("http://www.sedek.ru/upload/iblock/960/kapusta_rubin_krasnokochannaya.jpg","фото")</f>
        <v>фото</v>
      </c>
      <c r="C646" s="38"/>
      <c r="D646" s="38"/>
      <c r="E646" s="39"/>
      <c r="F646" s="39" t="s">
        <v>804</v>
      </c>
      <c r="G646" s="44">
        <v>0.5</v>
      </c>
      <c r="H646" s="39" t="s">
        <v>101</v>
      </c>
      <c r="I646" s="39" t="s">
        <v>102</v>
      </c>
      <c r="J646" s="41">
        <v>2000</v>
      </c>
      <c r="K646" s="42">
        <v>20</v>
      </c>
      <c r="L646" s="43"/>
      <c r="M646" s="43">
        <f>L646*K646</f>
        <v>0</v>
      </c>
      <c r="N646" s="35">
        <v>4607149400676</v>
      </c>
    </row>
    <row r="647" spans="1:14" ht="24" customHeight="1" outlineLevel="3" x14ac:dyDescent="0.2">
      <c r="A647" s="45">
        <v>14907</v>
      </c>
      <c r="B647" s="37" t="str">
        <f>HYPERLINK("http://sedek.ru/upload/iblock/2a3/kapusta_rusalochka.jpg","фото")</f>
        <v>фото</v>
      </c>
      <c r="C647" s="38"/>
      <c r="D647" s="38" t="s">
        <v>266</v>
      </c>
      <c r="E647" s="39"/>
      <c r="F647" s="39" t="s">
        <v>805</v>
      </c>
      <c r="G647" s="44">
        <v>0.5</v>
      </c>
      <c r="H647" s="39" t="s">
        <v>101</v>
      </c>
      <c r="I647" s="39" t="s">
        <v>102</v>
      </c>
      <c r="J647" s="41">
        <v>2000</v>
      </c>
      <c r="K647" s="42">
        <v>20</v>
      </c>
      <c r="L647" s="43"/>
      <c r="M647" s="43">
        <f>L647*K647</f>
        <v>0</v>
      </c>
      <c r="N647" s="35">
        <v>4690368019828</v>
      </c>
    </row>
    <row r="648" spans="1:14" ht="24" customHeight="1" outlineLevel="3" x14ac:dyDescent="0.2">
      <c r="A648" s="45">
        <v>15306</v>
      </c>
      <c r="B648" s="37" t="str">
        <f>HYPERLINK("http://sedek.ru/upload/iblock/49b/kapusta_russkaya_zima_f1.jpg","фото")</f>
        <v>фото</v>
      </c>
      <c r="C648" s="38"/>
      <c r="D648" s="38"/>
      <c r="E648" s="39"/>
      <c r="F648" s="39" t="s">
        <v>806</v>
      </c>
      <c r="G648" s="44">
        <v>0.1</v>
      </c>
      <c r="H648" s="39" t="s">
        <v>101</v>
      </c>
      <c r="I648" s="39" t="s">
        <v>102</v>
      </c>
      <c r="J648" s="41">
        <v>2500</v>
      </c>
      <c r="K648" s="42">
        <v>28.9</v>
      </c>
      <c r="L648" s="43"/>
      <c r="M648" s="43">
        <f>L648*K648</f>
        <v>0</v>
      </c>
      <c r="N648" s="35">
        <v>4690368009386</v>
      </c>
    </row>
    <row r="649" spans="1:14" ht="24" customHeight="1" outlineLevel="3" x14ac:dyDescent="0.2">
      <c r="A649" s="45">
        <v>16782</v>
      </c>
      <c r="B649" s="37" t="str">
        <f>HYPERLINK("http://sedek.ru/upload/iblock/261/kapusta_russkiy_borshch_b_k.jpg","фото")</f>
        <v>фото</v>
      </c>
      <c r="C649" s="38"/>
      <c r="D649" s="38"/>
      <c r="E649" s="39"/>
      <c r="F649" s="39" t="s">
        <v>807</v>
      </c>
      <c r="G649" s="44">
        <v>0.5</v>
      </c>
      <c r="H649" s="39" t="s">
        <v>101</v>
      </c>
      <c r="I649" s="39" t="s">
        <v>102</v>
      </c>
      <c r="J649" s="41">
        <v>2000</v>
      </c>
      <c r="K649" s="42">
        <v>20.5</v>
      </c>
      <c r="L649" s="43"/>
      <c r="M649" s="43">
        <f>L649*K649</f>
        <v>0</v>
      </c>
      <c r="N649" s="35">
        <v>4690368025355</v>
      </c>
    </row>
    <row r="650" spans="1:14" ht="24" customHeight="1" outlineLevel="3" x14ac:dyDescent="0.2">
      <c r="A650" s="45">
        <v>13584</v>
      </c>
      <c r="B650" s="37" t="str">
        <f>HYPERLINK("http://sedek.ru/upload/iblock/20e/kapusta_sanda.jpg","фото")</f>
        <v>фото</v>
      </c>
      <c r="C650" s="38"/>
      <c r="D650" s="38"/>
      <c r="E650" s="39"/>
      <c r="F650" s="39" t="s">
        <v>808</v>
      </c>
      <c r="G650" s="44">
        <v>0.3</v>
      </c>
      <c r="H650" s="39" t="s">
        <v>101</v>
      </c>
      <c r="I650" s="39" t="s">
        <v>102</v>
      </c>
      <c r="J650" s="41">
        <v>2000</v>
      </c>
      <c r="K650" s="42">
        <v>20.5</v>
      </c>
      <c r="L650" s="43"/>
      <c r="M650" s="43">
        <f>L650*K650</f>
        <v>0</v>
      </c>
      <c r="N650" s="35">
        <v>4607015186857</v>
      </c>
    </row>
    <row r="651" spans="1:14" ht="24" customHeight="1" outlineLevel="3" x14ac:dyDescent="0.2">
      <c r="A651" s="45">
        <v>15893</v>
      </c>
      <c r="B651" s="37" t="str">
        <f>HYPERLINK("http://www.sedek.ru/upload/iblock/4ad/kapusta_sakharnaya_golova.jpg","фото")</f>
        <v>фото</v>
      </c>
      <c r="C651" s="38"/>
      <c r="D651" s="38"/>
      <c r="E651" s="39"/>
      <c r="F651" s="39" t="s">
        <v>809</v>
      </c>
      <c r="G651" s="44">
        <v>0.5</v>
      </c>
      <c r="H651" s="39" t="s">
        <v>101</v>
      </c>
      <c r="I651" s="39" t="s">
        <v>102</v>
      </c>
      <c r="J651" s="41">
        <v>2000</v>
      </c>
      <c r="K651" s="42">
        <v>25.6</v>
      </c>
      <c r="L651" s="43"/>
      <c r="M651" s="43">
        <f>L651*K651</f>
        <v>0</v>
      </c>
      <c r="N651" s="35">
        <v>4607015186864</v>
      </c>
    </row>
    <row r="652" spans="1:14" ht="36" customHeight="1" outlineLevel="3" x14ac:dyDescent="0.2">
      <c r="A652" s="36" t="s">
        <v>810</v>
      </c>
      <c r="B652" s="37" t="str">
        <f>HYPERLINK("http://sedek.ru/upload/iblock/861/bqerqz5sdgfiy1348r7pbdybw4jkdbdo/kapusta_sakharnaya_gora_f1_belokochannaya.png","фото")</f>
        <v>фото</v>
      </c>
      <c r="C652" s="38"/>
      <c r="D652" s="38" t="s">
        <v>266</v>
      </c>
      <c r="E652" s="39"/>
      <c r="F652" s="39" t="s">
        <v>811</v>
      </c>
      <c r="G652" s="54">
        <v>0.05</v>
      </c>
      <c r="H652" s="39" t="s">
        <v>101</v>
      </c>
      <c r="I652" s="39" t="s">
        <v>102</v>
      </c>
      <c r="J652" s="41">
        <v>2000</v>
      </c>
      <c r="K652" s="42">
        <v>33.4</v>
      </c>
      <c r="L652" s="43"/>
      <c r="M652" s="43">
        <f>L652*K652</f>
        <v>0</v>
      </c>
      <c r="N652" s="35">
        <v>4690368036337</v>
      </c>
    </row>
    <row r="653" spans="1:14" ht="24" customHeight="1" outlineLevel="3" x14ac:dyDescent="0.2">
      <c r="A653" s="36" t="s">
        <v>812</v>
      </c>
      <c r="B653" s="37" t="str">
        <f>HYPERLINK("http://sedek.ru/upload/iblock/076/kapusta_sakharnyy_shar_f1.jpg","фото")</f>
        <v>фото</v>
      </c>
      <c r="C653" s="38"/>
      <c r="D653" s="38"/>
      <c r="E653" s="39"/>
      <c r="F653" s="39" t="s">
        <v>813</v>
      </c>
      <c r="G653" s="54">
        <v>0.05</v>
      </c>
      <c r="H653" s="39" t="s">
        <v>101</v>
      </c>
      <c r="I653" s="39" t="s">
        <v>102</v>
      </c>
      <c r="J653" s="41">
        <v>2000</v>
      </c>
      <c r="K653" s="42">
        <v>33.4</v>
      </c>
      <c r="L653" s="43"/>
      <c r="M653" s="43">
        <f>L653*K653</f>
        <v>0</v>
      </c>
      <c r="N653" s="35">
        <v>4690368026109</v>
      </c>
    </row>
    <row r="654" spans="1:14" ht="24" customHeight="1" outlineLevel="3" x14ac:dyDescent="0.2">
      <c r="A654" s="45">
        <v>15760</v>
      </c>
      <c r="B654" s="37" t="str">
        <f>HYPERLINK("http://sedek.ru/upload/iblock/1fe/kapusta_svekrov_f1.jpg","фото")</f>
        <v>фото</v>
      </c>
      <c r="C654" s="38"/>
      <c r="D654" s="38"/>
      <c r="E654" s="39"/>
      <c r="F654" s="39" t="s">
        <v>814</v>
      </c>
      <c r="G654" s="54">
        <v>0.25</v>
      </c>
      <c r="H654" s="39" t="s">
        <v>101</v>
      </c>
      <c r="I654" s="39" t="s">
        <v>102</v>
      </c>
      <c r="J654" s="41">
        <v>2000</v>
      </c>
      <c r="K654" s="42">
        <v>22.7</v>
      </c>
      <c r="L654" s="43"/>
      <c r="M654" s="43">
        <f>L654*K654</f>
        <v>0</v>
      </c>
      <c r="N654" s="35">
        <v>4607116267608</v>
      </c>
    </row>
    <row r="655" spans="1:14" ht="24" customHeight="1" outlineLevel="3" x14ac:dyDescent="0.2">
      <c r="A655" s="45">
        <v>15760</v>
      </c>
      <c r="B655" s="37" t="str">
        <f>HYPERLINK("http://sedek.ru/upload/iblock/1fe/kapusta_svekrov_f1.jpg","фото")</f>
        <v>фото</v>
      </c>
      <c r="C655" s="38"/>
      <c r="D655" s="38"/>
      <c r="E655" s="39"/>
      <c r="F655" s="39" t="s">
        <v>815</v>
      </c>
      <c r="G655" s="54">
        <v>0.25</v>
      </c>
      <c r="H655" s="39" t="s">
        <v>101</v>
      </c>
      <c r="I655" s="39" t="s">
        <v>287</v>
      </c>
      <c r="J655" s="41">
        <v>2000</v>
      </c>
      <c r="K655" s="42">
        <v>10.8</v>
      </c>
      <c r="L655" s="43"/>
      <c r="M655" s="43">
        <f>L655*K655</f>
        <v>0</v>
      </c>
      <c r="N655" s="35">
        <v>4607149405442</v>
      </c>
    </row>
    <row r="656" spans="1:14" ht="24" customHeight="1" outlineLevel="3" x14ac:dyDescent="0.2">
      <c r="A656" s="45">
        <v>14178</v>
      </c>
      <c r="B656" s="37" t="str">
        <f>HYPERLINK("http://sedek.ru/upload/iblock/684/kapusta_sentyabrina_f1.jpg","фото")</f>
        <v>фото</v>
      </c>
      <c r="C656" s="38"/>
      <c r="D656" s="38"/>
      <c r="E656" s="39"/>
      <c r="F656" s="39" t="s">
        <v>816</v>
      </c>
      <c r="G656" s="44">
        <v>0.3</v>
      </c>
      <c r="H656" s="39" t="s">
        <v>101</v>
      </c>
      <c r="I656" s="39" t="s">
        <v>102</v>
      </c>
      <c r="J656" s="41">
        <v>2000</v>
      </c>
      <c r="K656" s="42">
        <v>20</v>
      </c>
      <c r="L656" s="43"/>
      <c r="M656" s="43">
        <f>L656*K656</f>
        <v>0</v>
      </c>
      <c r="N656" s="35">
        <v>4607116267288</v>
      </c>
    </row>
    <row r="657" spans="1:14" ht="24" customHeight="1" outlineLevel="3" x14ac:dyDescent="0.2">
      <c r="A657" s="45">
        <v>15602</v>
      </c>
      <c r="B657" s="37" t="str">
        <f>HYPERLINK("http://sedek.ru/upload/iblock/1d4/kapusta_serdtse_buyvola.jpg","фото")</f>
        <v>фото</v>
      </c>
      <c r="C657" s="38"/>
      <c r="D657" s="38"/>
      <c r="E657" s="39"/>
      <c r="F657" s="39" t="s">
        <v>817</v>
      </c>
      <c r="G657" s="44">
        <v>0.5</v>
      </c>
      <c r="H657" s="39" t="s">
        <v>101</v>
      </c>
      <c r="I657" s="39" t="s">
        <v>102</v>
      </c>
      <c r="J657" s="41">
        <v>2000</v>
      </c>
      <c r="K657" s="42">
        <v>20</v>
      </c>
      <c r="L657" s="43"/>
      <c r="M657" s="43">
        <f>L657*K657</f>
        <v>0</v>
      </c>
      <c r="N657" s="35">
        <v>4607015186871</v>
      </c>
    </row>
    <row r="658" spans="1:14" ht="24" customHeight="1" outlineLevel="3" x14ac:dyDescent="0.2">
      <c r="A658" s="36" t="s">
        <v>818</v>
      </c>
      <c r="B658" s="37" t="str">
        <f>HYPERLINK("http://www.sedek.ru/upload/iblock/aa6/kapusta_serebryanyy_shar_f1_tsvetnaya.jpg","Фото")</f>
        <v>Фото</v>
      </c>
      <c r="C658" s="38"/>
      <c r="D658" s="38"/>
      <c r="E658" s="39"/>
      <c r="F658" s="39" t="s">
        <v>819</v>
      </c>
      <c r="G658" s="54">
        <v>0.05</v>
      </c>
      <c r="H658" s="39" t="s">
        <v>101</v>
      </c>
      <c r="I658" s="39" t="s">
        <v>102</v>
      </c>
      <c r="J658" s="41">
        <v>5000</v>
      </c>
      <c r="K658" s="42">
        <v>33.4</v>
      </c>
      <c r="L658" s="43"/>
      <c r="M658" s="43">
        <f>L658*K658</f>
        <v>0</v>
      </c>
      <c r="N658" s="35">
        <v>4690368030281</v>
      </c>
    </row>
    <row r="659" spans="1:14" ht="24" customHeight="1" outlineLevel="3" x14ac:dyDescent="0.2">
      <c r="A659" s="45">
        <v>14177</v>
      </c>
      <c r="B659" s="37" t="str">
        <f>HYPERLINK("http://www.sedek.ru/upload/iblock/d9c/kapusta_sizaya_golubka.JPG","фото")</f>
        <v>фото</v>
      </c>
      <c r="C659" s="38"/>
      <c r="D659" s="38"/>
      <c r="E659" s="39"/>
      <c r="F659" s="39" t="s">
        <v>820</v>
      </c>
      <c r="G659" s="44">
        <v>0.5</v>
      </c>
      <c r="H659" s="39" t="s">
        <v>101</v>
      </c>
      <c r="I659" s="39" t="s">
        <v>102</v>
      </c>
      <c r="J659" s="41">
        <v>2000</v>
      </c>
      <c r="K659" s="42">
        <v>19.5</v>
      </c>
      <c r="L659" s="43"/>
      <c r="M659" s="43">
        <f>L659*K659</f>
        <v>0</v>
      </c>
      <c r="N659" s="35">
        <v>4607149404339</v>
      </c>
    </row>
    <row r="660" spans="1:14" ht="24" customHeight="1" outlineLevel="3" x14ac:dyDescent="0.2">
      <c r="A660" s="45">
        <v>14177</v>
      </c>
      <c r="B660" s="37" t="str">
        <f>HYPERLINK("http://www.sedek.ru/upload/iblock/d9c/kapusta_sizaya_golubka.JPG","фото")</f>
        <v>фото</v>
      </c>
      <c r="C660" s="38"/>
      <c r="D660" s="38"/>
      <c r="E660" s="39"/>
      <c r="F660" s="39" t="s">
        <v>821</v>
      </c>
      <c r="G660" s="44">
        <v>0.5</v>
      </c>
      <c r="H660" s="39" t="s">
        <v>101</v>
      </c>
      <c r="I660" s="39" t="s">
        <v>287</v>
      </c>
      <c r="J660" s="41">
        <v>2000</v>
      </c>
      <c r="K660" s="42">
        <v>7.3</v>
      </c>
      <c r="L660" s="43"/>
      <c r="M660" s="43">
        <f>L660*K660</f>
        <v>0</v>
      </c>
      <c r="N660" s="35">
        <v>4690368000956</v>
      </c>
    </row>
    <row r="661" spans="1:14" ht="24" customHeight="1" outlineLevel="3" x14ac:dyDescent="0.2">
      <c r="A661" s="45">
        <v>15687</v>
      </c>
      <c r="B661" s="37" t="str">
        <f>HYPERLINK("http://sedek.ru/upload/iblock/2cf/kapusta_skazka_f1.jpg","фото")</f>
        <v>фото</v>
      </c>
      <c r="C661" s="38"/>
      <c r="D661" s="38"/>
      <c r="E661" s="39"/>
      <c r="F661" s="39" t="s">
        <v>822</v>
      </c>
      <c r="G661" s="44">
        <v>0.1</v>
      </c>
      <c r="H661" s="39" t="s">
        <v>101</v>
      </c>
      <c r="I661" s="39" t="s">
        <v>102</v>
      </c>
      <c r="J661" s="41">
        <v>2500</v>
      </c>
      <c r="K661" s="42">
        <v>20.5</v>
      </c>
      <c r="L661" s="43"/>
      <c r="M661" s="43">
        <f>L661*K661</f>
        <v>0</v>
      </c>
      <c r="N661" s="35">
        <v>4690368009393</v>
      </c>
    </row>
    <row r="662" spans="1:14" ht="24" customHeight="1" outlineLevel="3" x14ac:dyDescent="0.2">
      <c r="A662" s="45">
        <v>15866</v>
      </c>
      <c r="B662" s="37" t="str">
        <f>HYPERLINK("http://sedek.ru/upload/iblock/17e/kapusta_skorospelaya.jpg","фото")</f>
        <v>фото</v>
      </c>
      <c r="C662" s="38"/>
      <c r="D662" s="38"/>
      <c r="E662" s="39"/>
      <c r="F662" s="39" t="s">
        <v>823</v>
      </c>
      <c r="G662" s="44">
        <v>0.5</v>
      </c>
      <c r="H662" s="39" t="s">
        <v>101</v>
      </c>
      <c r="I662" s="39" t="s">
        <v>102</v>
      </c>
      <c r="J662" s="41">
        <v>2000</v>
      </c>
      <c r="K662" s="42">
        <v>20.5</v>
      </c>
      <c r="L662" s="43"/>
      <c r="M662" s="43">
        <f>L662*K662</f>
        <v>0</v>
      </c>
      <c r="N662" s="35">
        <v>4690368007764</v>
      </c>
    </row>
    <row r="663" spans="1:14" ht="24" customHeight="1" outlineLevel="3" x14ac:dyDescent="0.2">
      <c r="A663" s="45">
        <v>15609</v>
      </c>
      <c r="B663" s="37" t="str">
        <f>HYPERLINK("http://sedek.ru/upload/iblock/4df/kapusta_skorospelka.jpg","фото")</f>
        <v>фото</v>
      </c>
      <c r="C663" s="38"/>
      <c r="D663" s="38"/>
      <c r="E663" s="39"/>
      <c r="F663" s="39" t="s">
        <v>824</v>
      </c>
      <c r="G663" s="44">
        <v>0.5</v>
      </c>
      <c r="H663" s="39" t="s">
        <v>101</v>
      </c>
      <c r="I663" s="39" t="s">
        <v>102</v>
      </c>
      <c r="J663" s="41">
        <v>2000</v>
      </c>
      <c r="K663" s="42">
        <v>20.5</v>
      </c>
      <c r="L663" s="43"/>
      <c r="M663" s="43">
        <f>L663*K663</f>
        <v>0</v>
      </c>
      <c r="N663" s="35">
        <v>4607116267615</v>
      </c>
    </row>
    <row r="664" spans="1:14" ht="24" customHeight="1" outlineLevel="3" x14ac:dyDescent="0.2">
      <c r="A664" s="45">
        <v>16365</v>
      </c>
      <c r="B664" s="37" t="str">
        <f>HYPERLINK("http://www.sedek.ru/upload/iblock/574/kapusta_slava_1305.jpg","фото")</f>
        <v>фото</v>
      </c>
      <c r="C664" s="38"/>
      <c r="D664" s="38"/>
      <c r="E664" s="39"/>
      <c r="F664" s="39" t="s">
        <v>825</v>
      </c>
      <c r="G664" s="44">
        <v>0.5</v>
      </c>
      <c r="H664" s="39" t="s">
        <v>101</v>
      </c>
      <c r="I664" s="39" t="s">
        <v>102</v>
      </c>
      <c r="J664" s="41">
        <v>2000</v>
      </c>
      <c r="K664" s="42">
        <v>15.6</v>
      </c>
      <c r="L664" s="43"/>
      <c r="M664" s="43">
        <f>L664*K664</f>
        <v>0</v>
      </c>
      <c r="N664" s="35">
        <v>4607015186888</v>
      </c>
    </row>
    <row r="665" spans="1:14" ht="24" customHeight="1" outlineLevel="3" x14ac:dyDescent="0.2">
      <c r="A665" s="45">
        <v>16556</v>
      </c>
      <c r="B665" s="37" t="str">
        <f>HYPERLINK("http://sedek.ru/upload/iblock/a5c/kapusta_smak.jpg","фото")</f>
        <v>фото</v>
      </c>
      <c r="C665" s="38"/>
      <c r="D665" s="38"/>
      <c r="E665" s="39"/>
      <c r="F665" s="39" t="s">
        <v>826</v>
      </c>
      <c r="G665" s="40">
        <v>1</v>
      </c>
      <c r="H665" s="39" t="s">
        <v>101</v>
      </c>
      <c r="I665" s="39" t="s">
        <v>102</v>
      </c>
      <c r="J665" s="41">
        <v>1000</v>
      </c>
      <c r="K665" s="42">
        <v>19.5</v>
      </c>
      <c r="L665" s="43"/>
      <c r="M665" s="43">
        <f>L665*K665</f>
        <v>0</v>
      </c>
      <c r="N665" s="35">
        <v>4607149404346</v>
      </c>
    </row>
    <row r="666" spans="1:14" ht="24" customHeight="1" outlineLevel="3" x14ac:dyDescent="0.2">
      <c r="A666" s="36" t="s">
        <v>827</v>
      </c>
      <c r="B666" s="37" t="str">
        <f>HYPERLINK("http://sedek.ru/upload/iblock/9cd/kapusta_snegurochka_f1.jpg","фото")</f>
        <v>фото</v>
      </c>
      <c r="C666" s="38"/>
      <c r="D666" s="38"/>
      <c r="E666" s="39"/>
      <c r="F666" s="39" t="s">
        <v>828</v>
      </c>
      <c r="G666" s="40">
        <v>10</v>
      </c>
      <c r="H666" s="39" t="s">
        <v>307</v>
      </c>
      <c r="I666" s="39" t="s">
        <v>102</v>
      </c>
      <c r="J666" s="41">
        <v>5000</v>
      </c>
      <c r="K666" s="42">
        <v>37.299999999999997</v>
      </c>
      <c r="L666" s="43"/>
      <c r="M666" s="43">
        <f>L666*K666</f>
        <v>0</v>
      </c>
      <c r="N666" s="35">
        <v>4690368026482</v>
      </c>
    </row>
    <row r="667" spans="1:14" ht="24" customHeight="1" outlineLevel="3" x14ac:dyDescent="0.2">
      <c r="A667" s="45">
        <v>15952</v>
      </c>
      <c r="B667" s="37" t="str">
        <f>HYPERLINK("http://sedek.ru/upload/iblock/701/kapusta_snezhana_f1.jpg","фото")</f>
        <v>фото</v>
      </c>
      <c r="C667" s="38"/>
      <c r="D667" s="38"/>
      <c r="E667" s="39"/>
      <c r="F667" s="39" t="s">
        <v>829</v>
      </c>
      <c r="G667" s="44">
        <v>0.3</v>
      </c>
      <c r="H667" s="39" t="s">
        <v>101</v>
      </c>
      <c r="I667" s="39" t="s">
        <v>102</v>
      </c>
      <c r="J667" s="41">
        <v>2000</v>
      </c>
      <c r="K667" s="42">
        <v>20.5</v>
      </c>
      <c r="L667" s="43"/>
      <c r="M667" s="43">
        <f>L667*K667</f>
        <v>0</v>
      </c>
      <c r="N667" s="35">
        <v>4607015186895</v>
      </c>
    </row>
    <row r="668" spans="1:14" ht="24" customHeight="1" outlineLevel="3" x14ac:dyDescent="0.2">
      <c r="A668" s="45">
        <v>15952</v>
      </c>
      <c r="B668" s="37" t="str">
        <f>HYPERLINK("http://sedek.ru/upload/iblock/701/kapusta_snezhana_f1.jpg","фото")</f>
        <v>фото</v>
      </c>
      <c r="C668" s="38"/>
      <c r="D668" s="38"/>
      <c r="E668" s="39"/>
      <c r="F668" s="39" t="s">
        <v>830</v>
      </c>
      <c r="G668" s="44">
        <v>0.3</v>
      </c>
      <c r="H668" s="39" t="s">
        <v>101</v>
      </c>
      <c r="I668" s="39" t="s">
        <v>287</v>
      </c>
      <c r="J668" s="41">
        <v>2000</v>
      </c>
      <c r="K668" s="42">
        <v>7.8</v>
      </c>
      <c r="L668" s="43"/>
      <c r="M668" s="43">
        <f>L668*K668</f>
        <v>0</v>
      </c>
      <c r="N668" s="35">
        <v>4607149408313</v>
      </c>
    </row>
    <row r="669" spans="1:14" ht="24" customHeight="1" outlineLevel="3" x14ac:dyDescent="0.2">
      <c r="A669" s="45">
        <v>31457</v>
      </c>
      <c r="B669" s="37" t="str">
        <f>HYPERLINK("http://www.sedek.ru/upload/iblock/7a4/kapusta_snezhnaya_koroleva_f1.jpg","фото")</f>
        <v>фото</v>
      </c>
      <c r="C669" s="38"/>
      <c r="D669" s="38"/>
      <c r="E669" s="39"/>
      <c r="F669" s="39" t="s">
        <v>831</v>
      </c>
      <c r="G669" s="44">
        <v>0.1</v>
      </c>
      <c r="H669" s="39" t="s">
        <v>101</v>
      </c>
      <c r="I669" s="39" t="s">
        <v>102</v>
      </c>
      <c r="J669" s="41">
        <v>2500</v>
      </c>
      <c r="K669" s="42">
        <v>36.6</v>
      </c>
      <c r="L669" s="43"/>
      <c r="M669" s="43">
        <f>L669*K669</f>
        <v>0</v>
      </c>
      <c r="N669" s="35">
        <v>4690368026130</v>
      </c>
    </row>
    <row r="670" spans="1:14" ht="24" customHeight="1" outlineLevel="3" x14ac:dyDescent="0.2">
      <c r="A670" s="45">
        <v>14240</v>
      </c>
      <c r="B670" s="37" t="str">
        <f>HYPERLINK("http://sedek.ru/upload/iblock/d70/kapusta_snezhnyy_shar.jpg","фото")</f>
        <v>фото</v>
      </c>
      <c r="C670" s="38"/>
      <c r="D670" s="38"/>
      <c r="E670" s="39"/>
      <c r="F670" s="39" t="s">
        <v>832</v>
      </c>
      <c r="G670" s="44">
        <v>0.5</v>
      </c>
      <c r="H670" s="39" t="s">
        <v>101</v>
      </c>
      <c r="I670" s="39" t="s">
        <v>102</v>
      </c>
      <c r="J670" s="41">
        <v>2000</v>
      </c>
      <c r="K670" s="42">
        <v>18.8</v>
      </c>
      <c r="L670" s="43"/>
      <c r="M670" s="43">
        <f>L670*K670</f>
        <v>0</v>
      </c>
      <c r="N670" s="35">
        <v>4607015186901</v>
      </c>
    </row>
    <row r="671" spans="1:14" ht="24" customHeight="1" outlineLevel="3" x14ac:dyDescent="0.2">
      <c r="A671" s="45">
        <v>14240</v>
      </c>
      <c r="B671" s="37" t="str">
        <f>HYPERLINK("http://sedek.ru/upload/iblock/d70/kapusta_snezhnyy_shar.jpg","фото")</f>
        <v>фото</v>
      </c>
      <c r="C671" s="38"/>
      <c r="D671" s="38"/>
      <c r="E671" s="39"/>
      <c r="F671" s="39" t="s">
        <v>833</v>
      </c>
      <c r="G671" s="44">
        <v>0.5</v>
      </c>
      <c r="H671" s="39" t="s">
        <v>101</v>
      </c>
      <c r="I671" s="39" t="s">
        <v>287</v>
      </c>
      <c r="J671" s="41">
        <v>2000</v>
      </c>
      <c r="K671" s="42">
        <v>7</v>
      </c>
      <c r="L671" s="43"/>
      <c r="M671" s="43">
        <f>L671*K671</f>
        <v>0</v>
      </c>
      <c r="N671" s="35">
        <v>4607149408832</v>
      </c>
    </row>
    <row r="672" spans="1:14" ht="24" customHeight="1" outlineLevel="3" x14ac:dyDescent="0.2">
      <c r="A672" s="45">
        <v>14484</v>
      </c>
      <c r="B672" s="37" t="str">
        <f>HYPERLINK("http://www.sedek.ru/upload/iblock/837/kapusta_snouboll_123_tsvetnaya.jpg","фото")</f>
        <v>фото</v>
      </c>
      <c r="C672" s="38"/>
      <c r="D672" s="38"/>
      <c r="E672" s="39"/>
      <c r="F672" s="39" t="s">
        <v>834</v>
      </c>
      <c r="G672" s="44">
        <v>0.5</v>
      </c>
      <c r="H672" s="39" t="s">
        <v>101</v>
      </c>
      <c r="I672" s="39" t="s">
        <v>102</v>
      </c>
      <c r="J672" s="41">
        <v>2000</v>
      </c>
      <c r="K672" s="42">
        <v>16.899999999999999</v>
      </c>
      <c r="L672" s="43"/>
      <c r="M672" s="43">
        <f>L672*K672</f>
        <v>0</v>
      </c>
      <c r="N672" s="35">
        <v>4607149400812</v>
      </c>
    </row>
    <row r="673" spans="1:14" ht="24" customHeight="1" outlineLevel="3" x14ac:dyDescent="0.2">
      <c r="A673" s="45">
        <v>14484</v>
      </c>
      <c r="B673" s="37" t="str">
        <f>HYPERLINK("http://www.sedek.ru/upload/iblock/837/kapusta_snouboll_123_tsvetnaya.jpg","фото")</f>
        <v>фото</v>
      </c>
      <c r="C673" s="38"/>
      <c r="D673" s="38"/>
      <c r="E673" s="39"/>
      <c r="F673" s="39" t="s">
        <v>835</v>
      </c>
      <c r="G673" s="44">
        <v>0.5</v>
      </c>
      <c r="H673" s="39" t="s">
        <v>101</v>
      </c>
      <c r="I673" s="39" t="s">
        <v>287</v>
      </c>
      <c r="J673" s="41">
        <v>2000</v>
      </c>
      <c r="K673" s="42">
        <v>6.5</v>
      </c>
      <c r="L673" s="43"/>
      <c r="M673" s="43">
        <f>L673*K673</f>
        <v>0</v>
      </c>
      <c r="N673" s="35">
        <v>4607149405473</v>
      </c>
    </row>
    <row r="674" spans="1:14" ht="24" customHeight="1" outlineLevel="3" x14ac:dyDescent="0.2">
      <c r="A674" s="36" t="s">
        <v>836</v>
      </c>
      <c r="B674" s="37" t="str">
        <f>HYPERLINK("http://www.sedek.ru/upload/iblock/3e8/kapusta_sprinter_f1_belokochannaya.jpg","Фото")</f>
        <v>Фото</v>
      </c>
      <c r="C674" s="38"/>
      <c r="D674" s="38"/>
      <c r="E674" s="39"/>
      <c r="F674" s="39" t="s">
        <v>837</v>
      </c>
      <c r="G674" s="54">
        <v>0.05</v>
      </c>
      <c r="H674" s="39" t="s">
        <v>101</v>
      </c>
      <c r="I674" s="39" t="s">
        <v>102</v>
      </c>
      <c r="J674" s="41">
        <v>5000</v>
      </c>
      <c r="K674" s="42">
        <v>33.4</v>
      </c>
      <c r="L674" s="43"/>
      <c r="M674" s="43">
        <f>L674*K674</f>
        <v>0</v>
      </c>
      <c r="N674" s="35">
        <v>4690368030298</v>
      </c>
    </row>
    <row r="675" spans="1:14" ht="24" customHeight="1" outlineLevel="3" x14ac:dyDescent="0.2">
      <c r="A675" s="36" t="s">
        <v>838</v>
      </c>
      <c r="B675" s="37" t="str">
        <f>HYPERLINK("http://www.sedek.ru/upload/iblock/3cf/kapusta_start_f1_belokochannaya.jpg","Фото")</f>
        <v>Фото</v>
      </c>
      <c r="C675" s="38"/>
      <c r="D675" s="38"/>
      <c r="E675" s="39"/>
      <c r="F675" s="39" t="s">
        <v>839</v>
      </c>
      <c r="G675" s="54">
        <v>0.05</v>
      </c>
      <c r="H675" s="39" t="s">
        <v>101</v>
      </c>
      <c r="I675" s="39" t="s">
        <v>102</v>
      </c>
      <c r="J675" s="41">
        <v>5000</v>
      </c>
      <c r="K675" s="42">
        <v>33.4</v>
      </c>
      <c r="L675" s="43"/>
      <c r="M675" s="43">
        <f>L675*K675</f>
        <v>0</v>
      </c>
      <c r="N675" s="35">
        <v>4690368030304</v>
      </c>
    </row>
    <row r="676" spans="1:14" ht="24" customHeight="1" outlineLevel="3" x14ac:dyDescent="0.2">
      <c r="A676" s="45">
        <v>15799</v>
      </c>
      <c r="B676" s="37" t="str">
        <f>HYPERLINK("http://sedek.ru/upload/iblock/79a/kapusta_stryapukha_f1.jpg","фото")</f>
        <v>фото</v>
      </c>
      <c r="C676" s="38"/>
      <c r="D676" s="38"/>
      <c r="E676" s="39"/>
      <c r="F676" s="39" t="s">
        <v>840</v>
      </c>
      <c r="G676" s="44">
        <v>0.3</v>
      </c>
      <c r="H676" s="39" t="s">
        <v>101</v>
      </c>
      <c r="I676" s="39" t="s">
        <v>102</v>
      </c>
      <c r="J676" s="41">
        <v>2000</v>
      </c>
      <c r="K676" s="42">
        <v>23.9</v>
      </c>
      <c r="L676" s="43"/>
      <c r="M676" s="43">
        <f>L676*K676</f>
        <v>0</v>
      </c>
      <c r="N676" s="35">
        <v>4607015186925</v>
      </c>
    </row>
    <row r="677" spans="1:14" ht="24" customHeight="1" outlineLevel="3" x14ac:dyDescent="0.2">
      <c r="A677" s="45">
        <v>14009</v>
      </c>
      <c r="B677" s="37" t="str">
        <f>HYPERLINK("http://sedek.ru/upload/iblock/16a/kapusta_tyeshcha.jpg","фото")</f>
        <v>фото</v>
      </c>
      <c r="C677" s="38"/>
      <c r="D677" s="38"/>
      <c r="E677" s="39"/>
      <c r="F677" s="39" t="s">
        <v>841</v>
      </c>
      <c r="G677" s="44">
        <v>0.5</v>
      </c>
      <c r="H677" s="39" t="s">
        <v>101</v>
      </c>
      <c r="I677" s="39" t="s">
        <v>102</v>
      </c>
      <c r="J677" s="41">
        <v>2000</v>
      </c>
      <c r="K677" s="42">
        <v>22.7</v>
      </c>
      <c r="L677" s="43"/>
      <c r="M677" s="43">
        <f>L677*K677</f>
        <v>0</v>
      </c>
      <c r="N677" s="35">
        <v>4607015186956</v>
      </c>
    </row>
    <row r="678" spans="1:14" ht="24" customHeight="1" outlineLevel="3" x14ac:dyDescent="0.2">
      <c r="A678" s="45">
        <v>14009</v>
      </c>
      <c r="B678" s="37" t="str">
        <f>HYPERLINK("http://sedek.ru/upload/iblock/16a/kapusta_tyeshcha.jpg","фото")</f>
        <v>фото</v>
      </c>
      <c r="C678" s="38"/>
      <c r="D678" s="38"/>
      <c r="E678" s="39"/>
      <c r="F678" s="39" t="s">
        <v>842</v>
      </c>
      <c r="G678" s="44">
        <v>0.5</v>
      </c>
      <c r="H678" s="39" t="s">
        <v>101</v>
      </c>
      <c r="I678" s="39" t="s">
        <v>287</v>
      </c>
      <c r="J678" s="41">
        <v>2000</v>
      </c>
      <c r="K678" s="42">
        <v>13.4</v>
      </c>
      <c r="L678" s="43"/>
      <c r="M678" s="43">
        <f>L678*K678</f>
        <v>0</v>
      </c>
      <c r="N678" s="35">
        <v>4607149408283</v>
      </c>
    </row>
    <row r="679" spans="1:14" ht="24" customHeight="1" outlineLevel="3" x14ac:dyDescent="0.2">
      <c r="A679" s="45">
        <v>15265</v>
      </c>
      <c r="B679" s="37" t="str">
        <f>HYPERLINK("http://sedek.ru/upload/iblock/496/kapusta_tonus.jpg","фото")</f>
        <v>фото</v>
      </c>
      <c r="C679" s="38"/>
      <c r="D679" s="38"/>
      <c r="E679" s="39"/>
      <c r="F679" s="39" t="s">
        <v>843</v>
      </c>
      <c r="G679" s="44">
        <v>0.3</v>
      </c>
      <c r="H679" s="39" t="s">
        <v>101</v>
      </c>
      <c r="I679" s="39" t="s">
        <v>102</v>
      </c>
      <c r="J679" s="41">
        <v>2000</v>
      </c>
      <c r="K679" s="42">
        <v>20</v>
      </c>
      <c r="L679" s="43"/>
      <c r="M679" s="43">
        <f>L679*K679</f>
        <v>0</v>
      </c>
      <c r="N679" s="35">
        <v>4607149400782</v>
      </c>
    </row>
    <row r="680" spans="1:14" ht="24" customHeight="1" outlineLevel="3" x14ac:dyDescent="0.2">
      <c r="A680" s="45">
        <v>14147</v>
      </c>
      <c r="B680" s="37" t="str">
        <f>HYPERLINK("http://sedek.ru/upload/iblock/a65/kapusta_transfer_f1.jpg","фото")</f>
        <v>фото</v>
      </c>
      <c r="C680" s="38"/>
      <c r="D680" s="38"/>
      <c r="E680" s="39"/>
      <c r="F680" s="39" t="s">
        <v>844</v>
      </c>
      <c r="G680" s="44">
        <v>0.3</v>
      </c>
      <c r="H680" s="39" t="s">
        <v>101</v>
      </c>
      <c r="I680" s="39" t="s">
        <v>102</v>
      </c>
      <c r="J680" s="41">
        <v>2000</v>
      </c>
      <c r="K680" s="42">
        <v>21.9</v>
      </c>
      <c r="L680" s="43"/>
      <c r="M680" s="43">
        <f>L680*K680</f>
        <v>0</v>
      </c>
      <c r="N680" s="35">
        <v>4607015186963</v>
      </c>
    </row>
    <row r="681" spans="1:14" ht="24" customHeight="1" outlineLevel="3" x14ac:dyDescent="0.2">
      <c r="A681" s="36" t="s">
        <v>845</v>
      </c>
      <c r="B681" s="37" t="str">
        <f>HYPERLINK("http://www.sedek.ru/upload/iblock/bd6/kapusta_tuluza_f1_belokochannaya.jpg","Фото")</f>
        <v>Фото</v>
      </c>
      <c r="C681" s="38"/>
      <c r="D681" s="38" t="s">
        <v>266</v>
      </c>
      <c r="E681" s="39"/>
      <c r="F681" s="39" t="s">
        <v>846</v>
      </c>
      <c r="G681" s="54">
        <v>0.05</v>
      </c>
      <c r="H681" s="39" t="s">
        <v>101</v>
      </c>
      <c r="I681" s="39" t="s">
        <v>102</v>
      </c>
      <c r="J681" s="41">
        <v>5000</v>
      </c>
      <c r="K681" s="42">
        <v>33.4</v>
      </c>
      <c r="L681" s="43"/>
      <c r="M681" s="43">
        <f>L681*K681</f>
        <v>0</v>
      </c>
      <c r="N681" s="35">
        <v>4690368030311</v>
      </c>
    </row>
    <row r="682" spans="1:14" ht="24" customHeight="1" outlineLevel="3" x14ac:dyDescent="0.2">
      <c r="A682" s="45">
        <v>15900</v>
      </c>
      <c r="B682" s="37" t="str">
        <f>HYPERLINK("http://sedek.ru/upload/iblock/336/kapusta_ulyana_f1.jpg","фото")</f>
        <v>фото</v>
      </c>
      <c r="C682" s="38"/>
      <c r="D682" s="38"/>
      <c r="E682" s="39"/>
      <c r="F682" s="39" t="s">
        <v>847</v>
      </c>
      <c r="G682" s="44">
        <v>0.1</v>
      </c>
      <c r="H682" s="39" t="s">
        <v>101</v>
      </c>
      <c r="I682" s="39" t="s">
        <v>102</v>
      </c>
      <c r="J682" s="41">
        <v>2500</v>
      </c>
      <c r="K682" s="42">
        <v>23.9</v>
      </c>
      <c r="L682" s="43"/>
      <c r="M682" s="43">
        <f>L682*K682</f>
        <v>0</v>
      </c>
      <c r="N682" s="35">
        <v>4607015186970</v>
      </c>
    </row>
    <row r="683" spans="1:14" ht="24" customHeight="1" outlineLevel="3" x14ac:dyDescent="0.2">
      <c r="A683" s="45">
        <v>15340</v>
      </c>
      <c r="B683" s="37" t="str">
        <f>HYPERLINK("http://sedek.ru/upload/iblock/22f/kapusta_urozhaynaya.jpg","фото")</f>
        <v>фото</v>
      </c>
      <c r="C683" s="38"/>
      <c r="D683" s="38"/>
      <c r="E683" s="39"/>
      <c r="F683" s="39" t="s">
        <v>848</v>
      </c>
      <c r="G683" s="44">
        <v>0.5</v>
      </c>
      <c r="H683" s="39" t="s">
        <v>101</v>
      </c>
      <c r="I683" s="39" t="s">
        <v>102</v>
      </c>
      <c r="J683" s="41">
        <v>2000</v>
      </c>
      <c r="K683" s="42">
        <v>20</v>
      </c>
      <c r="L683" s="43"/>
      <c r="M683" s="43">
        <f>L683*K683</f>
        <v>0</v>
      </c>
      <c r="N683" s="35">
        <v>4690368012812</v>
      </c>
    </row>
    <row r="684" spans="1:14" ht="24" customHeight="1" outlineLevel="3" x14ac:dyDescent="0.2">
      <c r="A684" s="45">
        <v>14838</v>
      </c>
      <c r="B684" s="37" t="str">
        <f>HYPERLINK("http://sedek.ru/upload/iblock/fb7/kapusta_favorit_f1.jpg","фото")</f>
        <v>фото</v>
      </c>
      <c r="C684" s="38"/>
      <c r="D684" s="38"/>
      <c r="E684" s="39"/>
      <c r="F684" s="39" t="s">
        <v>849</v>
      </c>
      <c r="G684" s="44">
        <v>0.1</v>
      </c>
      <c r="H684" s="39" t="s">
        <v>101</v>
      </c>
      <c r="I684" s="39" t="s">
        <v>102</v>
      </c>
      <c r="J684" s="41">
        <v>2500</v>
      </c>
      <c r="K684" s="42">
        <v>21.9</v>
      </c>
      <c r="L684" s="43"/>
      <c r="M684" s="43">
        <f>L684*K684</f>
        <v>0</v>
      </c>
      <c r="N684" s="35">
        <v>4690368017060</v>
      </c>
    </row>
    <row r="685" spans="1:14" ht="24" customHeight="1" outlineLevel="3" x14ac:dyDescent="0.2">
      <c r="A685" s="45">
        <v>15292</v>
      </c>
      <c r="B685" s="37" t="str">
        <f>HYPERLINK("http://sedek.ru/upload/iblock/d3f/kapusta_kharkovskaya_zimnyaya.JPG","фото")</f>
        <v>фото</v>
      </c>
      <c r="C685" s="38"/>
      <c r="D685" s="38"/>
      <c r="E685" s="39"/>
      <c r="F685" s="39" t="s">
        <v>850</v>
      </c>
      <c r="G685" s="44">
        <v>0.5</v>
      </c>
      <c r="H685" s="39" t="s">
        <v>101</v>
      </c>
      <c r="I685" s="39" t="s">
        <v>102</v>
      </c>
      <c r="J685" s="41">
        <v>2000</v>
      </c>
      <c r="K685" s="42">
        <v>15.6</v>
      </c>
      <c r="L685" s="43"/>
      <c r="M685" s="43">
        <f>L685*K685</f>
        <v>0</v>
      </c>
      <c r="N685" s="35">
        <v>4607015186987</v>
      </c>
    </row>
    <row r="686" spans="1:14" ht="24" customHeight="1" outlineLevel="3" x14ac:dyDescent="0.2">
      <c r="A686" s="45">
        <v>15292</v>
      </c>
      <c r="B686" s="37" t="str">
        <f>HYPERLINK("http://sedek.ru/upload/iblock/d3f/kapusta_kharkovskaya_zimnyaya.JPG","фото")</f>
        <v>фото</v>
      </c>
      <c r="C686" s="38"/>
      <c r="D686" s="38"/>
      <c r="E686" s="39"/>
      <c r="F686" s="39" t="s">
        <v>851</v>
      </c>
      <c r="G686" s="44">
        <v>0.5</v>
      </c>
      <c r="H686" s="39" t="s">
        <v>101</v>
      </c>
      <c r="I686" s="39" t="s">
        <v>287</v>
      </c>
      <c r="J686" s="41">
        <v>2000</v>
      </c>
      <c r="K686" s="42">
        <v>6.5</v>
      </c>
      <c r="L686" s="43"/>
      <c r="M686" s="43">
        <f>L686*K686</f>
        <v>0</v>
      </c>
      <c r="N686" s="35">
        <v>4607149402359</v>
      </c>
    </row>
    <row r="687" spans="1:14" ht="24" customHeight="1" outlineLevel="3" x14ac:dyDescent="0.2">
      <c r="A687" s="45">
        <v>16210</v>
      </c>
      <c r="B687" s="37" t="str">
        <f>HYPERLINK("http://sedek.ru/upload/iblock/2fa/kapusta_tsezar_f1.jpg","фото")</f>
        <v>фото</v>
      </c>
      <c r="C687" s="38"/>
      <c r="D687" s="38"/>
      <c r="E687" s="39"/>
      <c r="F687" s="39" t="s">
        <v>852</v>
      </c>
      <c r="G687" s="44">
        <v>0.3</v>
      </c>
      <c r="H687" s="39" t="s">
        <v>101</v>
      </c>
      <c r="I687" s="39" t="s">
        <v>102</v>
      </c>
      <c r="J687" s="41">
        <v>2000</v>
      </c>
      <c r="K687" s="42">
        <v>25.9</v>
      </c>
      <c r="L687" s="43"/>
      <c r="M687" s="43">
        <f>L687*K687</f>
        <v>0</v>
      </c>
      <c r="N687" s="35">
        <v>4607116267301</v>
      </c>
    </row>
    <row r="688" spans="1:14" ht="24" customHeight="1" outlineLevel="3" x14ac:dyDescent="0.2">
      <c r="A688" s="45">
        <v>16210</v>
      </c>
      <c r="B688" s="37" t="str">
        <f>HYPERLINK("http://sedek.ru/upload/iblock/2fa/kapusta_tsezar_f1.jpg","фото")</f>
        <v>фото</v>
      </c>
      <c r="C688" s="38"/>
      <c r="D688" s="38"/>
      <c r="E688" s="39"/>
      <c r="F688" s="39" t="s">
        <v>853</v>
      </c>
      <c r="G688" s="44">
        <v>0.3</v>
      </c>
      <c r="H688" s="39" t="s">
        <v>101</v>
      </c>
      <c r="I688" s="39" t="s">
        <v>287</v>
      </c>
      <c r="J688" s="41">
        <v>2000</v>
      </c>
      <c r="K688" s="42">
        <v>12.7</v>
      </c>
      <c r="L688" s="43"/>
      <c r="M688" s="43">
        <f>L688*K688</f>
        <v>0</v>
      </c>
      <c r="N688" s="35">
        <v>4690368000963</v>
      </c>
    </row>
    <row r="689" spans="1:14" ht="24" customHeight="1" outlineLevel="3" x14ac:dyDescent="0.2">
      <c r="A689" s="45">
        <v>14362</v>
      </c>
      <c r="B689" s="37" t="str">
        <f>HYPERLINK("http://sedek.ru/upload/iblock/82e/kapusta_chetyre_sezona.jpg","фото")</f>
        <v>фото</v>
      </c>
      <c r="C689" s="38"/>
      <c r="D689" s="38"/>
      <c r="E689" s="39"/>
      <c r="F689" s="39" t="s">
        <v>854</v>
      </c>
      <c r="G689" s="44">
        <v>0.5</v>
      </c>
      <c r="H689" s="39" t="s">
        <v>101</v>
      </c>
      <c r="I689" s="39" t="s">
        <v>102</v>
      </c>
      <c r="J689" s="41">
        <v>2000</v>
      </c>
      <c r="K689" s="42">
        <v>20</v>
      </c>
      <c r="L689" s="43"/>
      <c r="M689" s="43">
        <f>L689*K689</f>
        <v>0</v>
      </c>
      <c r="N689" s="35">
        <v>4607116267318</v>
      </c>
    </row>
    <row r="690" spans="1:14" ht="24" customHeight="1" outlineLevel="3" x14ac:dyDescent="0.2">
      <c r="A690" s="45">
        <v>14362</v>
      </c>
      <c r="B690" s="37" t="str">
        <f>HYPERLINK("http://sedek.ru/upload/iblock/82e/kapusta_chetyre_sezona.jpg","фото")</f>
        <v>фото</v>
      </c>
      <c r="C690" s="38"/>
      <c r="D690" s="38"/>
      <c r="E690" s="39"/>
      <c r="F690" s="39" t="s">
        <v>855</v>
      </c>
      <c r="G690" s="44">
        <v>0.5</v>
      </c>
      <c r="H690" s="39" t="s">
        <v>101</v>
      </c>
      <c r="I690" s="39" t="s">
        <v>287</v>
      </c>
      <c r="J690" s="41">
        <v>2000</v>
      </c>
      <c r="K690" s="42">
        <v>7</v>
      </c>
      <c r="L690" s="43"/>
      <c r="M690" s="43">
        <f>L690*K690</f>
        <v>0</v>
      </c>
      <c r="N690" s="35">
        <v>4607149409686</v>
      </c>
    </row>
    <row r="691" spans="1:14" ht="24" customHeight="1" outlineLevel="3" x14ac:dyDescent="0.2">
      <c r="A691" s="45">
        <v>14537</v>
      </c>
      <c r="B691" s="37" t="str">
        <f>HYPERLINK("http://sedek.ru/upload/iblock/de7/kapusta_ekspress_f1.jpg","фото")</f>
        <v>фото</v>
      </c>
      <c r="C691" s="38"/>
      <c r="D691" s="38"/>
      <c r="E691" s="39"/>
      <c r="F691" s="39" t="s">
        <v>856</v>
      </c>
      <c r="G691" s="44">
        <v>0.3</v>
      </c>
      <c r="H691" s="39" t="s">
        <v>101</v>
      </c>
      <c r="I691" s="39" t="s">
        <v>102</v>
      </c>
      <c r="J691" s="41">
        <v>2000</v>
      </c>
      <c r="K691" s="42">
        <v>22</v>
      </c>
      <c r="L691" s="43"/>
      <c r="M691" s="43">
        <f>L691*K691</f>
        <v>0</v>
      </c>
      <c r="N691" s="35">
        <v>4607015186994</v>
      </c>
    </row>
    <row r="692" spans="1:14" ht="24" customHeight="1" outlineLevel="3" x14ac:dyDescent="0.2">
      <c r="A692" s="45">
        <v>14828</v>
      </c>
      <c r="B692" s="37" t="str">
        <f>HYPERLINK("http://sedek.ru/upload/iblock/b54/kapusta_ekspress_ms.jpg","фото")</f>
        <v>фото</v>
      </c>
      <c r="C692" s="38"/>
      <c r="D692" s="38"/>
      <c r="E692" s="39"/>
      <c r="F692" s="39" t="s">
        <v>857</v>
      </c>
      <c r="G692" s="44">
        <v>0.2</v>
      </c>
      <c r="H692" s="39" t="s">
        <v>101</v>
      </c>
      <c r="I692" s="39" t="s">
        <v>102</v>
      </c>
      <c r="J692" s="41">
        <v>2500</v>
      </c>
      <c r="K692" s="42">
        <v>16.899999999999999</v>
      </c>
      <c r="L692" s="43"/>
      <c r="M692" s="43">
        <f>L692*K692</f>
        <v>0</v>
      </c>
      <c r="N692" s="35">
        <v>4607149400799</v>
      </c>
    </row>
    <row r="693" spans="1:14" ht="24" customHeight="1" outlineLevel="3" x14ac:dyDescent="0.2">
      <c r="A693" s="45">
        <v>14188</v>
      </c>
      <c r="B693" s="37" t="str">
        <f>HYPERLINK("http://sedek.ru/upload/iblock/401/kapusta_ekstra_f1.jpg","фото")</f>
        <v>фото</v>
      </c>
      <c r="C693" s="38"/>
      <c r="D693" s="38" t="s">
        <v>266</v>
      </c>
      <c r="E693" s="39"/>
      <c r="F693" s="39" t="s">
        <v>858</v>
      </c>
      <c r="G693" s="44">
        <v>0.1</v>
      </c>
      <c r="H693" s="39" t="s">
        <v>101</v>
      </c>
      <c r="I693" s="39" t="s">
        <v>102</v>
      </c>
      <c r="J693" s="41">
        <v>2500</v>
      </c>
      <c r="K693" s="42">
        <v>26.4</v>
      </c>
      <c r="L693" s="43"/>
      <c r="M693" s="43">
        <f>L693*K693</f>
        <v>0</v>
      </c>
      <c r="N693" s="35">
        <v>4607015187007</v>
      </c>
    </row>
    <row r="694" spans="1:14" ht="12" customHeight="1" outlineLevel="2" x14ac:dyDescent="0.2">
      <c r="A694" s="22"/>
      <c r="B694" s="23"/>
      <c r="C694" s="23"/>
      <c r="D694" s="23"/>
      <c r="E694" s="24"/>
      <c r="F694" s="24" t="s">
        <v>859</v>
      </c>
      <c r="G694" s="24"/>
      <c r="H694" s="24"/>
      <c r="I694" s="24"/>
      <c r="J694" s="24"/>
      <c r="K694" s="24"/>
      <c r="L694" s="24"/>
      <c r="M694" s="24"/>
      <c r="N694" s="25"/>
    </row>
    <row r="695" spans="1:14" ht="24" customHeight="1" outlineLevel="3" x14ac:dyDescent="0.2">
      <c r="A695" s="36" t="s">
        <v>860</v>
      </c>
      <c r="B695" s="37" t="str">
        <f>HYPERLINK("http://www.sedek.ru/upload/iblock/890/kartofel_azhur.jpg","фото")</f>
        <v>фото</v>
      </c>
      <c r="C695" s="38"/>
      <c r="D695" s="38"/>
      <c r="E695" s="39" t="s">
        <v>263</v>
      </c>
      <c r="F695" s="39" t="s">
        <v>861</v>
      </c>
      <c r="G695" s="54">
        <v>0.02</v>
      </c>
      <c r="H695" s="39" t="s">
        <v>101</v>
      </c>
      <c r="I695" s="39" t="s">
        <v>102</v>
      </c>
      <c r="J695" s="41">
        <v>5000</v>
      </c>
      <c r="K695" s="42">
        <v>19.3</v>
      </c>
      <c r="L695" s="43"/>
      <c r="M695" s="43">
        <f>L695*K695</f>
        <v>0</v>
      </c>
      <c r="N695" s="35">
        <v>469036803279</v>
      </c>
    </row>
    <row r="696" spans="1:14" ht="24" customHeight="1" outlineLevel="3" x14ac:dyDescent="0.2">
      <c r="A696" s="45">
        <v>15389</v>
      </c>
      <c r="B696" s="37" t="str">
        <f>HYPERLINK("http://sedek.ru/upload/iblock/aaa/kartofel_assol.jpg","фото")</f>
        <v>фото</v>
      </c>
      <c r="C696" s="38"/>
      <c r="D696" s="38"/>
      <c r="E696" s="39"/>
      <c r="F696" s="39" t="s">
        <v>862</v>
      </c>
      <c r="G696" s="54">
        <v>0.02</v>
      </c>
      <c r="H696" s="39" t="s">
        <v>101</v>
      </c>
      <c r="I696" s="39" t="s">
        <v>102</v>
      </c>
      <c r="J696" s="41">
        <v>5000</v>
      </c>
      <c r="K696" s="42">
        <v>19.3</v>
      </c>
      <c r="L696" s="43"/>
      <c r="M696" s="43">
        <f>L696*K696</f>
        <v>0</v>
      </c>
      <c r="N696" s="35">
        <v>4607015187014</v>
      </c>
    </row>
    <row r="697" spans="1:14" ht="24" customHeight="1" outlineLevel="3" x14ac:dyDescent="0.2">
      <c r="A697" s="45">
        <v>16580</v>
      </c>
      <c r="B697" s="37" t="str">
        <f>HYPERLINK("http://sedek.ru/upload/iblock/322/kartofel_ausoniya.jpg","фото")</f>
        <v>фото</v>
      </c>
      <c r="C697" s="38"/>
      <c r="D697" s="38"/>
      <c r="E697" s="39"/>
      <c r="F697" s="39" t="s">
        <v>863</v>
      </c>
      <c r="G697" s="54">
        <v>0.02</v>
      </c>
      <c r="H697" s="39" t="s">
        <v>101</v>
      </c>
      <c r="I697" s="39" t="s">
        <v>102</v>
      </c>
      <c r="J697" s="41">
        <v>5000</v>
      </c>
      <c r="K697" s="42">
        <v>19.3</v>
      </c>
      <c r="L697" s="43"/>
      <c r="M697" s="43">
        <f>L697*K697</f>
        <v>0</v>
      </c>
      <c r="N697" s="35">
        <v>4607149401550</v>
      </c>
    </row>
    <row r="698" spans="1:14" ht="24" customHeight="1" outlineLevel="3" x14ac:dyDescent="0.2">
      <c r="A698" s="45">
        <v>14635</v>
      </c>
      <c r="B698" s="37" t="str">
        <f>HYPERLINK("http://sedek.ru/upload/iblock/0da/kartofel_ballada.jpg","фото")</f>
        <v>фото</v>
      </c>
      <c r="C698" s="38"/>
      <c r="D698" s="38"/>
      <c r="E698" s="39"/>
      <c r="F698" s="39" t="s">
        <v>864</v>
      </c>
      <c r="G698" s="54">
        <v>0.02</v>
      </c>
      <c r="H698" s="39" t="s">
        <v>101</v>
      </c>
      <c r="I698" s="39" t="s">
        <v>102</v>
      </c>
      <c r="J698" s="41">
        <v>5000</v>
      </c>
      <c r="K698" s="42">
        <v>19.3</v>
      </c>
      <c r="L698" s="43"/>
      <c r="M698" s="43">
        <f>L698*K698</f>
        <v>0</v>
      </c>
      <c r="N698" s="35">
        <v>4607015187021</v>
      </c>
    </row>
    <row r="699" spans="1:14" ht="24" customHeight="1" outlineLevel="3" x14ac:dyDescent="0.2">
      <c r="A699" s="45">
        <v>14640</v>
      </c>
      <c r="B699" s="37" t="str">
        <f>HYPERLINK("http://sedek.ru/upload/iblock/1d0/kartofel_velina.jpg","фото")</f>
        <v>фото</v>
      </c>
      <c r="C699" s="38"/>
      <c r="D699" s="38"/>
      <c r="E699" s="39"/>
      <c r="F699" s="39" t="s">
        <v>865</v>
      </c>
      <c r="G699" s="54">
        <v>0.02</v>
      </c>
      <c r="H699" s="39" t="s">
        <v>101</v>
      </c>
      <c r="I699" s="39" t="s">
        <v>102</v>
      </c>
      <c r="J699" s="41">
        <v>5000</v>
      </c>
      <c r="K699" s="42">
        <v>19.3</v>
      </c>
      <c r="L699" s="43"/>
      <c r="M699" s="43">
        <f>L699*K699</f>
        <v>0</v>
      </c>
      <c r="N699" s="35">
        <v>4607015187038</v>
      </c>
    </row>
    <row r="700" spans="1:14" ht="24" customHeight="1" outlineLevel="3" x14ac:dyDescent="0.2">
      <c r="A700" s="45">
        <v>14545</v>
      </c>
      <c r="B700" s="37" t="str">
        <f>HYPERLINK("http://sedek.ru/upload/iblock/6d9/kartofel_deva.jpg","фото")</f>
        <v>фото</v>
      </c>
      <c r="C700" s="38"/>
      <c r="D700" s="38"/>
      <c r="E700" s="39"/>
      <c r="F700" s="39" t="s">
        <v>866</v>
      </c>
      <c r="G700" s="54">
        <v>0.02</v>
      </c>
      <c r="H700" s="39" t="s">
        <v>101</v>
      </c>
      <c r="I700" s="39" t="s">
        <v>102</v>
      </c>
      <c r="J700" s="41">
        <v>5000</v>
      </c>
      <c r="K700" s="42">
        <v>19.3</v>
      </c>
      <c r="L700" s="43"/>
      <c r="M700" s="43">
        <f>L700*K700</f>
        <v>0</v>
      </c>
      <c r="N700" s="35">
        <v>4607015187045</v>
      </c>
    </row>
    <row r="701" spans="1:14" ht="24" customHeight="1" outlineLevel="3" x14ac:dyDescent="0.2">
      <c r="A701" s="45">
        <v>13629</v>
      </c>
      <c r="B701" s="37" t="str">
        <f>HYPERLINK("http://sedek.ru/upload/iblock/a4e/kartofel_ilona.jpg","фото")</f>
        <v>фото</v>
      </c>
      <c r="C701" s="38"/>
      <c r="D701" s="38"/>
      <c r="E701" s="39"/>
      <c r="F701" s="39" t="s">
        <v>867</v>
      </c>
      <c r="G701" s="54">
        <v>0.02</v>
      </c>
      <c r="H701" s="39" t="s">
        <v>101</v>
      </c>
      <c r="I701" s="39" t="s">
        <v>102</v>
      </c>
      <c r="J701" s="41">
        <v>5000</v>
      </c>
      <c r="K701" s="42">
        <v>19.3</v>
      </c>
      <c r="L701" s="43"/>
      <c r="M701" s="43">
        <f>L701*K701</f>
        <v>0</v>
      </c>
      <c r="N701" s="35">
        <v>4607015187052</v>
      </c>
    </row>
    <row r="702" spans="1:14" ht="24" customHeight="1" outlineLevel="3" x14ac:dyDescent="0.2">
      <c r="A702" s="45">
        <v>14057</v>
      </c>
      <c r="B702" s="37" t="str">
        <f>HYPERLINK("http://sedek.ru/upload/iblock/4f8/kartofel_imperatritsa.jpg","фото")</f>
        <v>фото</v>
      </c>
      <c r="C702" s="38"/>
      <c r="D702" s="38"/>
      <c r="E702" s="39"/>
      <c r="F702" s="39" t="s">
        <v>868</v>
      </c>
      <c r="G702" s="54">
        <v>0.02</v>
      </c>
      <c r="H702" s="39" t="s">
        <v>101</v>
      </c>
      <c r="I702" s="39" t="s">
        <v>102</v>
      </c>
      <c r="J702" s="41">
        <v>5000</v>
      </c>
      <c r="K702" s="42">
        <v>19.3</v>
      </c>
      <c r="L702" s="43"/>
      <c r="M702" s="43">
        <f>L702*K702</f>
        <v>0</v>
      </c>
      <c r="N702" s="35">
        <v>4607015187069</v>
      </c>
    </row>
    <row r="703" spans="1:14" ht="24" customHeight="1" outlineLevel="3" x14ac:dyDescent="0.2">
      <c r="A703" s="45">
        <v>16089</v>
      </c>
      <c r="B703" s="37" t="str">
        <f>HYPERLINK("http://sedek.ru/upload/iblock/c7d/kartofel_krasa.jpg","фото")</f>
        <v>фото</v>
      </c>
      <c r="C703" s="38"/>
      <c r="D703" s="38"/>
      <c r="E703" s="39"/>
      <c r="F703" s="39" t="s">
        <v>869</v>
      </c>
      <c r="G703" s="54">
        <v>0.02</v>
      </c>
      <c r="H703" s="39" t="s">
        <v>101</v>
      </c>
      <c r="I703" s="39" t="s">
        <v>102</v>
      </c>
      <c r="J703" s="41">
        <v>5000</v>
      </c>
      <c r="K703" s="42">
        <v>19.3</v>
      </c>
      <c r="L703" s="43"/>
      <c r="M703" s="43">
        <f>L703*K703</f>
        <v>0</v>
      </c>
      <c r="N703" s="35">
        <v>4607015187076</v>
      </c>
    </row>
    <row r="704" spans="1:14" ht="36" customHeight="1" outlineLevel="3" x14ac:dyDescent="0.2">
      <c r="A704" s="45">
        <v>16443</v>
      </c>
      <c r="B704" s="37" t="str">
        <f>HYPERLINK("http://sedek.ru/upload/iblock/758/kartofel_lada_f1.jpg","фото")</f>
        <v>фото</v>
      </c>
      <c r="C704" s="38"/>
      <c r="D704" s="38"/>
      <c r="E704" s="39"/>
      <c r="F704" s="39" t="s">
        <v>870</v>
      </c>
      <c r="G704" s="54">
        <v>0.02</v>
      </c>
      <c r="H704" s="39" t="s">
        <v>101</v>
      </c>
      <c r="I704" s="39" t="s">
        <v>102</v>
      </c>
      <c r="J704" s="41">
        <v>5000</v>
      </c>
      <c r="K704" s="42">
        <v>19.3</v>
      </c>
      <c r="L704" s="43"/>
      <c r="M704" s="43">
        <f>L704*K704</f>
        <v>0</v>
      </c>
      <c r="N704" s="35">
        <v>4607015187083</v>
      </c>
    </row>
    <row r="705" spans="1:14" ht="24" customHeight="1" outlineLevel="3" x14ac:dyDescent="0.2">
      <c r="A705" s="36" t="s">
        <v>871</v>
      </c>
      <c r="B705" s="37" t="str">
        <f>HYPERLINK("http://www.sedek.ru/upload/iblock/9fd/kartofel_lider.jpg","фото")</f>
        <v>фото</v>
      </c>
      <c r="C705" s="38"/>
      <c r="D705" s="38"/>
      <c r="E705" s="39"/>
      <c r="F705" s="39" t="s">
        <v>872</v>
      </c>
      <c r="G705" s="54">
        <v>0.02</v>
      </c>
      <c r="H705" s="39" t="s">
        <v>101</v>
      </c>
      <c r="I705" s="39" t="s">
        <v>102</v>
      </c>
      <c r="J705" s="41">
        <v>5000</v>
      </c>
      <c r="K705" s="42">
        <v>19.3</v>
      </c>
      <c r="L705" s="43"/>
      <c r="M705" s="43">
        <f>L705*K705</f>
        <v>0</v>
      </c>
      <c r="N705" s="35">
        <v>4690368032810</v>
      </c>
    </row>
    <row r="706" spans="1:14" ht="24" customHeight="1" outlineLevel="3" x14ac:dyDescent="0.2">
      <c r="A706" s="36" t="s">
        <v>873</v>
      </c>
      <c r="B706" s="37" t="str">
        <f>HYPERLINK("http://www.sedek.ru/upload/iblock/3c6/kartofel_mayak.jpg","фото")</f>
        <v>фото</v>
      </c>
      <c r="C706" s="38"/>
      <c r="D706" s="38"/>
      <c r="E706" s="39"/>
      <c r="F706" s="39" t="s">
        <v>874</v>
      </c>
      <c r="G706" s="54">
        <v>0.02</v>
      </c>
      <c r="H706" s="39" t="s">
        <v>101</v>
      </c>
      <c r="I706" s="39" t="s">
        <v>102</v>
      </c>
      <c r="J706" s="41">
        <v>5000</v>
      </c>
      <c r="K706" s="42">
        <v>19.3</v>
      </c>
      <c r="L706" s="43"/>
      <c r="M706" s="43">
        <f>L706*K706</f>
        <v>0</v>
      </c>
      <c r="N706" s="35">
        <v>4690368032803</v>
      </c>
    </row>
    <row r="707" spans="1:14" ht="24" customHeight="1" outlineLevel="3" x14ac:dyDescent="0.2">
      <c r="A707" s="45">
        <v>14073</v>
      </c>
      <c r="B707" s="37" t="str">
        <f>HYPERLINK("http://sedek.ru/upload/iblock/4cd/kartofel_milena.jpg","фото")</f>
        <v>фото</v>
      </c>
      <c r="C707" s="38"/>
      <c r="D707" s="38"/>
      <c r="E707" s="39"/>
      <c r="F707" s="39" t="s">
        <v>875</v>
      </c>
      <c r="G707" s="54">
        <v>0.02</v>
      </c>
      <c r="H707" s="39" t="s">
        <v>101</v>
      </c>
      <c r="I707" s="39" t="s">
        <v>102</v>
      </c>
      <c r="J707" s="41">
        <v>5000</v>
      </c>
      <c r="K707" s="42">
        <v>19.3</v>
      </c>
      <c r="L707" s="43"/>
      <c r="M707" s="43">
        <f>L707*K707</f>
        <v>0</v>
      </c>
      <c r="N707" s="35">
        <v>4607015187090</v>
      </c>
    </row>
    <row r="708" spans="1:14" ht="24" customHeight="1" outlineLevel="3" x14ac:dyDescent="0.2">
      <c r="A708" s="45">
        <v>14522</v>
      </c>
      <c r="B708" s="37" t="str">
        <f>HYPERLINK("http://sedek.ru/upload/iblock/aad/kartofel_revansh.jpg","фото")</f>
        <v>фото</v>
      </c>
      <c r="C708" s="38"/>
      <c r="D708" s="38"/>
      <c r="E708" s="39"/>
      <c r="F708" s="39" t="s">
        <v>876</v>
      </c>
      <c r="G708" s="54">
        <v>0.02</v>
      </c>
      <c r="H708" s="39" t="s">
        <v>101</v>
      </c>
      <c r="I708" s="39" t="s">
        <v>102</v>
      </c>
      <c r="J708" s="41">
        <v>5000</v>
      </c>
      <c r="K708" s="42">
        <v>19.3</v>
      </c>
      <c r="L708" s="43"/>
      <c r="M708" s="43">
        <f>L708*K708</f>
        <v>0</v>
      </c>
      <c r="N708" s="35">
        <v>4607015187106</v>
      </c>
    </row>
    <row r="709" spans="1:14" ht="24" customHeight="1" outlineLevel="3" x14ac:dyDescent="0.2">
      <c r="A709" s="45">
        <v>15263</v>
      </c>
      <c r="B709" s="37" t="str">
        <f>HYPERLINK("http://www.sedek.ru/upload/iblock/3ca/kartofel_triumf.jpg","фото")</f>
        <v>фото</v>
      </c>
      <c r="C709" s="38"/>
      <c r="D709" s="38"/>
      <c r="E709" s="39"/>
      <c r="F709" s="39" t="s">
        <v>877</v>
      </c>
      <c r="G709" s="54">
        <v>0.02</v>
      </c>
      <c r="H709" s="39" t="s">
        <v>101</v>
      </c>
      <c r="I709" s="39" t="s">
        <v>102</v>
      </c>
      <c r="J709" s="41">
        <v>5000</v>
      </c>
      <c r="K709" s="42">
        <v>19.3</v>
      </c>
      <c r="L709" s="43"/>
      <c r="M709" s="43">
        <f>L709*K709</f>
        <v>0</v>
      </c>
      <c r="N709" s="35">
        <v>4607015187113</v>
      </c>
    </row>
    <row r="710" spans="1:14" ht="24" customHeight="1" outlineLevel="3" x14ac:dyDescent="0.2">
      <c r="A710" s="45">
        <v>15880</v>
      </c>
      <c r="B710" s="37" t="str">
        <f>HYPERLINK("http://sedek.ru/upload/iblock/1c4/kartofel_fermer.jpg","фото")</f>
        <v>фото</v>
      </c>
      <c r="C710" s="38"/>
      <c r="D710" s="38"/>
      <c r="E710" s="39"/>
      <c r="F710" s="39" t="s">
        <v>878</v>
      </c>
      <c r="G710" s="54">
        <v>0.02</v>
      </c>
      <c r="H710" s="39" t="s">
        <v>101</v>
      </c>
      <c r="I710" s="39" t="s">
        <v>102</v>
      </c>
      <c r="J710" s="41">
        <v>5000</v>
      </c>
      <c r="K710" s="42">
        <v>19.3</v>
      </c>
      <c r="L710" s="43"/>
      <c r="M710" s="43">
        <f>L710*K710</f>
        <v>0</v>
      </c>
      <c r="N710" s="35">
        <v>4607015187120</v>
      </c>
    </row>
    <row r="711" spans="1:14" ht="12" customHeight="1" outlineLevel="2" x14ac:dyDescent="0.2">
      <c r="A711" s="22"/>
      <c r="B711" s="23"/>
      <c r="C711" s="23"/>
      <c r="D711" s="23"/>
      <c r="E711" s="24"/>
      <c r="F711" s="24" t="s">
        <v>879</v>
      </c>
      <c r="G711" s="24"/>
      <c r="H711" s="24"/>
      <c r="I711" s="24"/>
      <c r="J711" s="24"/>
      <c r="K711" s="24"/>
      <c r="L711" s="24"/>
      <c r="M711" s="24"/>
      <c r="N711" s="25"/>
    </row>
    <row r="712" spans="1:14" ht="36" customHeight="1" outlineLevel="3" x14ac:dyDescent="0.2">
      <c r="A712" s="36" t="s">
        <v>880</v>
      </c>
      <c r="B712" s="37" t="str">
        <f>HYPERLINK("http://www.sedek.ru/upload/iblock/33a/kivano_dikobraz_afrikanskiy_ogurets.jpg","фото")</f>
        <v>фото</v>
      </c>
      <c r="C712" s="38"/>
      <c r="D712" s="38" t="s">
        <v>266</v>
      </c>
      <c r="E712" s="39"/>
      <c r="F712" s="39" t="s">
        <v>881</v>
      </c>
      <c r="G712" s="40">
        <v>3</v>
      </c>
      <c r="H712" s="39" t="s">
        <v>307</v>
      </c>
      <c r="I712" s="39" t="s">
        <v>102</v>
      </c>
      <c r="J712" s="41">
        <v>2000</v>
      </c>
      <c r="K712" s="42">
        <v>49.2</v>
      </c>
      <c r="L712" s="43"/>
      <c r="M712" s="43">
        <f>L712*K712</f>
        <v>0</v>
      </c>
      <c r="N712" s="35">
        <v>4690368037334</v>
      </c>
    </row>
    <row r="713" spans="1:14" ht="12" customHeight="1" outlineLevel="2" x14ac:dyDescent="0.2">
      <c r="A713" s="22"/>
      <c r="B713" s="23"/>
      <c r="C713" s="23"/>
      <c r="D713" s="23"/>
      <c r="E713" s="24"/>
      <c r="F713" s="24" t="s">
        <v>882</v>
      </c>
      <c r="G713" s="24"/>
      <c r="H713" s="24"/>
      <c r="I713" s="24"/>
      <c r="J713" s="24"/>
      <c r="K713" s="24"/>
      <c r="L713" s="24"/>
      <c r="M713" s="24"/>
      <c r="N713" s="25"/>
    </row>
    <row r="714" spans="1:14" ht="36" customHeight="1" outlineLevel="3" x14ac:dyDescent="0.2">
      <c r="A714" s="45">
        <v>16788</v>
      </c>
      <c r="B714" s="37" t="str">
        <f>HYPERLINK("http://sedek.ru/upload/iblock/ce9/kinza_koriandr_vostochnyy_aromat.jpg","фото")</f>
        <v>фото</v>
      </c>
      <c r="C714" s="38"/>
      <c r="D714" s="38"/>
      <c r="E714" s="39"/>
      <c r="F714" s="39" t="s">
        <v>883</v>
      </c>
      <c r="G714" s="40">
        <v>2</v>
      </c>
      <c r="H714" s="39" t="s">
        <v>101</v>
      </c>
      <c r="I714" s="39" t="s">
        <v>102</v>
      </c>
      <c r="J714" s="41">
        <v>1000</v>
      </c>
      <c r="K714" s="42">
        <v>20</v>
      </c>
      <c r="L714" s="43"/>
      <c r="M714" s="43">
        <f>L714*K714</f>
        <v>0</v>
      </c>
      <c r="N714" s="35">
        <v>4690368026055</v>
      </c>
    </row>
    <row r="715" spans="1:14" ht="36" customHeight="1" outlineLevel="3" x14ac:dyDescent="0.2">
      <c r="A715" s="45">
        <v>14848</v>
      </c>
      <c r="B715" s="37" t="str">
        <f>HYPERLINK("http://sedek.ru/upload/iblock/c45/kinza_koriandr_puchkovaya.jpg","фото")</f>
        <v>фото</v>
      </c>
      <c r="C715" s="38"/>
      <c r="D715" s="38"/>
      <c r="E715" s="39"/>
      <c r="F715" s="39" t="s">
        <v>884</v>
      </c>
      <c r="G715" s="40">
        <v>2</v>
      </c>
      <c r="H715" s="39" t="s">
        <v>101</v>
      </c>
      <c r="I715" s="39" t="s">
        <v>102</v>
      </c>
      <c r="J715" s="41">
        <v>1000</v>
      </c>
      <c r="K715" s="42">
        <v>20</v>
      </c>
      <c r="L715" s="43"/>
      <c r="M715" s="43">
        <f>L715*K715</f>
        <v>0</v>
      </c>
      <c r="N715" s="35">
        <v>4690368012478</v>
      </c>
    </row>
    <row r="716" spans="1:14" ht="36" customHeight="1" outlineLevel="3" x14ac:dyDescent="0.2">
      <c r="A716" s="45">
        <v>13861</v>
      </c>
      <c r="B716" s="37" t="str">
        <f>HYPERLINK("http://sedek.ru//upload/iblock/576/mm6z2mx3rfb5u8ymoczlsgbonffjy7ys/kinza_koriandr_kinza_dza.jpg","фото")</f>
        <v>фото</v>
      </c>
      <c r="C716" s="38"/>
      <c r="D716" s="38"/>
      <c r="E716" s="39"/>
      <c r="F716" s="39" t="s">
        <v>885</v>
      </c>
      <c r="G716" s="40">
        <v>2</v>
      </c>
      <c r="H716" s="39" t="s">
        <v>101</v>
      </c>
      <c r="I716" s="39" t="s">
        <v>102</v>
      </c>
      <c r="J716" s="41">
        <v>1000</v>
      </c>
      <c r="K716" s="42">
        <v>25.3</v>
      </c>
      <c r="L716" s="43"/>
      <c r="M716" s="43">
        <f>L716*K716</f>
        <v>0</v>
      </c>
      <c r="N716" s="35">
        <v>4607149404889</v>
      </c>
    </row>
    <row r="717" spans="1:14" ht="36" customHeight="1" outlineLevel="3" x14ac:dyDescent="0.2">
      <c r="A717" s="45">
        <v>13861</v>
      </c>
      <c r="B717" s="37" t="str">
        <f>HYPERLINK("http://sedek.ru//upload/iblock/576/mm6z2mx3rfb5u8ymoczlsgbonffjy7ys/kinza_koriandr_kinza_dza.jpg","фото")</f>
        <v>фото</v>
      </c>
      <c r="C717" s="38"/>
      <c r="D717" s="38"/>
      <c r="E717" s="39"/>
      <c r="F717" s="39" t="s">
        <v>886</v>
      </c>
      <c r="G717" s="40">
        <v>2</v>
      </c>
      <c r="H717" s="39" t="s">
        <v>101</v>
      </c>
      <c r="I717" s="39" t="s">
        <v>287</v>
      </c>
      <c r="J717" s="41">
        <v>1000</v>
      </c>
      <c r="K717" s="42">
        <v>9.4</v>
      </c>
      <c r="L717" s="43"/>
      <c r="M717" s="43">
        <f>L717*K717</f>
        <v>0</v>
      </c>
      <c r="N717" s="35">
        <v>4607149408856</v>
      </c>
    </row>
    <row r="718" spans="1:14" ht="36" customHeight="1" outlineLevel="3" x14ac:dyDescent="0.2">
      <c r="A718" s="36" t="s">
        <v>887</v>
      </c>
      <c r="B718" s="37" t="str">
        <f>HYPERLINK("http://sedek.ru/upload/iblock/29e/0txufr6vs9529id76gdevtzp121evezq/kinza_koriandr_kinzauli.png","фото")</f>
        <v>фото</v>
      </c>
      <c r="C718" s="38" t="s">
        <v>266</v>
      </c>
      <c r="D718" s="38"/>
      <c r="E718" s="39"/>
      <c r="F718" s="39" t="s">
        <v>888</v>
      </c>
      <c r="G718" s="40">
        <v>2</v>
      </c>
      <c r="H718" s="39"/>
      <c r="I718" s="39" t="s">
        <v>102</v>
      </c>
      <c r="J718" s="41">
        <v>1000</v>
      </c>
      <c r="K718" s="42">
        <v>21.2</v>
      </c>
      <c r="L718" s="43"/>
      <c r="M718" s="43">
        <f>L718*K718</f>
        <v>0</v>
      </c>
      <c r="N718" s="35">
        <v>4690368043199</v>
      </c>
    </row>
    <row r="719" spans="1:14" ht="36" customHeight="1" outlineLevel="3" x14ac:dyDescent="0.2">
      <c r="A719" s="45">
        <v>16386</v>
      </c>
      <c r="B719" s="37" t="str">
        <f>HYPERLINK("http://sedek.ru/upload/iblock/51f/kinza_koriandr_korol_rynka.jpg","фото")</f>
        <v>фото</v>
      </c>
      <c r="C719" s="38"/>
      <c r="D719" s="38"/>
      <c r="E719" s="39"/>
      <c r="F719" s="39" t="s">
        <v>889</v>
      </c>
      <c r="G719" s="40">
        <v>2</v>
      </c>
      <c r="H719" s="39" t="s">
        <v>101</v>
      </c>
      <c r="I719" s="39" t="s">
        <v>102</v>
      </c>
      <c r="J719" s="41">
        <v>1000</v>
      </c>
      <c r="K719" s="42">
        <v>20.5</v>
      </c>
      <c r="L719" s="43"/>
      <c r="M719" s="43">
        <f>L719*K719</f>
        <v>0</v>
      </c>
      <c r="N719" s="35">
        <v>4607015188837</v>
      </c>
    </row>
    <row r="720" spans="1:14" ht="36" customHeight="1" outlineLevel="3" x14ac:dyDescent="0.2">
      <c r="A720" s="45">
        <v>14844</v>
      </c>
      <c r="B720" s="37" t="str">
        <f>HYPERLINK("http://sedek.ru/upload/iblock/71b/kinza_koriandr_prelest.jpg","фото")</f>
        <v>фото</v>
      </c>
      <c r="C720" s="38"/>
      <c r="D720" s="38"/>
      <c r="E720" s="39"/>
      <c r="F720" s="39" t="s">
        <v>890</v>
      </c>
      <c r="G720" s="40">
        <v>2</v>
      </c>
      <c r="H720" s="39" t="s">
        <v>101</v>
      </c>
      <c r="I720" s="39" t="s">
        <v>287</v>
      </c>
      <c r="J720" s="41">
        <v>1000</v>
      </c>
      <c r="K720" s="42">
        <v>7.1</v>
      </c>
      <c r="L720" s="43"/>
      <c r="M720" s="43">
        <f>L720*K720</f>
        <v>0</v>
      </c>
      <c r="N720" s="35">
        <v>4690368017114</v>
      </c>
    </row>
    <row r="721" spans="1:14" ht="36" customHeight="1" outlineLevel="3" x14ac:dyDescent="0.2">
      <c r="A721" s="45">
        <v>14845</v>
      </c>
      <c r="B721" s="37" t="str">
        <f>HYPERLINK("http://sedek.ru/upload/iblock/a04/kinza_koriandr_stimul.jpg","фото")</f>
        <v>фото</v>
      </c>
      <c r="C721" s="38"/>
      <c r="D721" s="38"/>
      <c r="E721" s="39"/>
      <c r="F721" s="39" t="s">
        <v>891</v>
      </c>
      <c r="G721" s="40">
        <v>2</v>
      </c>
      <c r="H721" s="39" t="s">
        <v>101</v>
      </c>
      <c r="I721" s="39" t="s">
        <v>102</v>
      </c>
      <c r="J721" s="41">
        <v>1000</v>
      </c>
      <c r="K721" s="42">
        <v>16.899999999999999</v>
      </c>
      <c r="L721" s="43"/>
      <c r="M721" s="43">
        <f>L721*K721</f>
        <v>0</v>
      </c>
      <c r="N721" s="35">
        <v>4690368014335</v>
      </c>
    </row>
    <row r="722" spans="1:14" ht="36" customHeight="1" outlineLevel="3" x14ac:dyDescent="0.2">
      <c r="A722" s="45">
        <v>13787</v>
      </c>
      <c r="B722" s="37" t="str">
        <f>HYPERLINK("http://sedek.ru/upload/iblock/d46/kinza_koriandr_yantar.jpg","фото")</f>
        <v>фото</v>
      </c>
      <c r="C722" s="38"/>
      <c r="D722" s="38"/>
      <c r="E722" s="39"/>
      <c r="F722" s="39" t="s">
        <v>892</v>
      </c>
      <c r="G722" s="40">
        <v>2</v>
      </c>
      <c r="H722" s="39" t="s">
        <v>101</v>
      </c>
      <c r="I722" s="39" t="s">
        <v>102</v>
      </c>
      <c r="J722" s="41">
        <v>1000</v>
      </c>
      <c r="K722" s="42">
        <v>15.6</v>
      </c>
      <c r="L722" s="43"/>
      <c r="M722" s="43">
        <f>L722*K722</f>
        <v>0</v>
      </c>
      <c r="N722" s="35">
        <v>4607015188844</v>
      </c>
    </row>
    <row r="723" spans="1:14" ht="12" customHeight="1" outlineLevel="2" x14ac:dyDescent="0.2">
      <c r="A723" s="22"/>
      <c r="B723" s="23"/>
      <c r="C723" s="23"/>
      <c r="D723" s="23"/>
      <c r="E723" s="24"/>
      <c r="F723" s="24" t="s">
        <v>893</v>
      </c>
      <c r="G723" s="24"/>
      <c r="H723" s="24"/>
      <c r="I723" s="24"/>
      <c r="J723" s="24"/>
      <c r="K723" s="24"/>
      <c r="L723" s="24"/>
      <c r="M723" s="24"/>
      <c r="N723" s="25"/>
    </row>
    <row r="724" spans="1:14" ht="24" customHeight="1" outlineLevel="3" x14ac:dyDescent="0.2">
      <c r="A724" s="45">
        <v>16114</v>
      </c>
      <c r="B724" s="37" t="str">
        <f>HYPERLINK("http://sedek.ru/upload/iblock/a7e/kukuruza_anava_f1.jpg","фото")</f>
        <v>фото</v>
      </c>
      <c r="C724" s="38"/>
      <c r="D724" s="38"/>
      <c r="E724" s="39"/>
      <c r="F724" s="39" t="s">
        <v>894</v>
      </c>
      <c r="G724" s="40">
        <v>4</v>
      </c>
      <c r="H724" s="39" t="s">
        <v>101</v>
      </c>
      <c r="I724" s="39" t="s">
        <v>102</v>
      </c>
      <c r="J724" s="41">
        <v>1000</v>
      </c>
      <c r="K724" s="42">
        <v>26.4</v>
      </c>
      <c r="L724" s="43"/>
      <c r="M724" s="43">
        <f>L724*K724</f>
        <v>0</v>
      </c>
      <c r="N724" s="35">
        <v>4607015187137</v>
      </c>
    </row>
    <row r="725" spans="1:14" ht="36" customHeight="1" outlineLevel="3" x14ac:dyDescent="0.2">
      <c r="A725" s="45">
        <v>14461</v>
      </c>
      <c r="B725" s="37" t="str">
        <f>HYPERLINK("http://sedek.ru/upload/iblock/3d0/kukuruza_vnuchkina_radost.jpg","фото")</f>
        <v>фото</v>
      </c>
      <c r="C725" s="38"/>
      <c r="D725" s="38"/>
      <c r="E725" s="39"/>
      <c r="F725" s="39" t="s">
        <v>895</v>
      </c>
      <c r="G725" s="40">
        <v>5</v>
      </c>
      <c r="H725" s="39" t="s">
        <v>101</v>
      </c>
      <c r="I725" s="39" t="s">
        <v>102</v>
      </c>
      <c r="J725" s="41">
        <v>1000</v>
      </c>
      <c r="K725" s="42">
        <v>20</v>
      </c>
      <c r="L725" s="43"/>
      <c r="M725" s="43">
        <f>L725*K725</f>
        <v>0</v>
      </c>
      <c r="N725" s="35">
        <v>4607149404544</v>
      </c>
    </row>
    <row r="726" spans="1:14" ht="36" customHeight="1" outlineLevel="3" x14ac:dyDescent="0.2">
      <c r="A726" s="45">
        <v>15429</v>
      </c>
      <c r="B726" s="37" t="str">
        <f>HYPERLINK("http://sedek.ru/upload/iblock/b05/kukuruza_vozdushnaya.jpg","фото")</f>
        <v>фото</v>
      </c>
      <c r="C726" s="38"/>
      <c r="D726" s="38"/>
      <c r="E726" s="39"/>
      <c r="F726" s="39" t="s">
        <v>896</v>
      </c>
      <c r="G726" s="40">
        <v>5</v>
      </c>
      <c r="H726" s="39" t="s">
        <v>101</v>
      </c>
      <c r="I726" s="39" t="s">
        <v>102</v>
      </c>
      <c r="J726" s="41">
        <v>1000</v>
      </c>
      <c r="K726" s="42">
        <v>20</v>
      </c>
      <c r="L726" s="43"/>
      <c r="M726" s="43">
        <f>L726*K726</f>
        <v>0</v>
      </c>
      <c r="N726" s="35">
        <v>4607116267622</v>
      </c>
    </row>
    <row r="727" spans="1:14" ht="36" customHeight="1" outlineLevel="3" x14ac:dyDescent="0.2">
      <c r="A727" s="45">
        <v>15956</v>
      </c>
      <c r="B727" s="37" t="str">
        <f>HYPERLINK("http://sedek.ru/upload/iblock/1d8/kukuruza_gamma_f1.jpg","фото")</f>
        <v>фото</v>
      </c>
      <c r="C727" s="38"/>
      <c r="D727" s="38"/>
      <c r="E727" s="39"/>
      <c r="F727" s="39" t="s">
        <v>897</v>
      </c>
      <c r="G727" s="40">
        <v>4</v>
      </c>
      <c r="H727" s="39" t="s">
        <v>101</v>
      </c>
      <c r="I727" s="39" t="s">
        <v>102</v>
      </c>
      <c r="J727" s="41">
        <v>1000</v>
      </c>
      <c r="K727" s="42">
        <v>26.4</v>
      </c>
      <c r="L727" s="43"/>
      <c r="M727" s="43">
        <f>L727*K727</f>
        <v>0</v>
      </c>
      <c r="N727" s="35">
        <v>4607015187144</v>
      </c>
    </row>
    <row r="728" spans="1:14" ht="24" customHeight="1" outlineLevel="3" x14ac:dyDescent="0.2">
      <c r="A728" s="45">
        <v>14756</v>
      </c>
      <c r="B728" s="37" t="str">
        <f>HYPERLINK("http://sedek.ru/upload/iblock/123/kukuruza_detskiy_vkus.jpg","фото")</f>
        <v>фото</v>
      </c>
      <c r="C728" s="38"/>
      <c r="D728" s="38"/>
      <c r="E728" s="39"/>
      <c r="F728" s="39" t="s">
        <v>898</v>
      </c>
      <c r="G728" s="40">
        <v>5</v>
      </c>
      <c r="H728" s="39" t="s">
        <v>101</v>
      </c>
      <c r="I728" s="39" t="s">
        <v>102</v>
      </c>
      <c r="J728" s="41">
        <v>1000</v>
      </c>
      <c r="K728" s="42">
        <v>21.6</v>
      </c>
      <c r="L728" s="43"/>
      <c r="M728" s="43">
        <f>L728*K728</f>
        <v>0</v>
      </c>
      <c r="N728" s="35">
        <v>4607149404520</v>
      </c>
    </row>
    <row r="729" spans="1:14" ht="24" customHeight="1" outlineLevel="3" x14ac:dyDescent="0.2">
      <c r="A729" s="45">
        <v>14756</v>
      </c>
      <c r="B729" s="37" t="str">
        <f>HYPERLINK("http://sedek.ru/upload/iblock/123/kukuruza_detskiy_vkus.jpg","фото")</f>
        <v>фото</v>
      </c>
      <c r="C729" s="38"/>
      <c r="D729" s="38"/>
      <c r="E729" s="39"/>
      <c r="F729" s="39" t="s">
        <v>899</v>
      </c>
      <c r="G729" s="40">
        <v>5</v>
      </c>
      <c r="H729" s="39" t="s">
        <v>101</v>
      </c>
      <c r="I729" s="39" t="s">
        <v>287</v>
      </c>
      <c r="J729" s="41">
        <v>1000</v>
      </c>
      <c r="K729" s="42">
        <v>10.199999999999999</v>
      </c>
      <c r="L729" s="43"/>
      <c r="M729" s="43">
        <f>L729*K729</f>
        <v>0</v>
      </c>
      <c r="N729" s="35">
        <v>4690368004565</v>
      </c>
    </row>
    <row r="730" spans="1:14" ht="36" customHeight="1" outlineLevel="3" x14ac:dyDescent="0.2">
      <c r="A730" s="45">
        <v>15887</v>
      </c>
      <c r="B730" s="37" t="str">
        <f>HYPERLINK("http://sedek.ru/upload/iblock/033/kukuruza_kubanskaya_konservnaya_148.jpg","фото")</f>
        <v>фото</v>
      </c>
      <c r="C730" s="38"/>
      <c r="D730" s="38"/>
      <c r="E730" s="39"/>
      <c r="F730" s="39" t="s">
        <v>900</v>
      </c>
      <c r="G730" s="40">
        <v>4</v>
      </c>
      <c r="H730" s="39" t="s">
        <v>101</v>
      </c>
      <c r="I730" s="39" t="s">
        <v>102</v>
      </c>
      <c r="J730" s="41">
        <v>1000</v>
      </c>
      <c r="K730" s="42">
        <v>16.899999999999999</v>
      </c>
      <c r="L730" s="43"/>
      <c r="M730" s="43">
        <f>L730*K730</f>
        <v>0</v>
      </c>
      <c r="N730" s="35">
        <v>4607149400843</v>
      </c>
    </row>
    <row r="731" spans="1:14" ht="36" customHeight="1" outlineLevel="3" x14ac:dyDescent="0.2">
      <c r="A731" s="45">
        <v>15887</v>
      </c>
      <c r="B731" s="37" t="str">
        <f>HYPERLINK("http://sedek.ru/upload/iblock/033/kukuruza_kubanskaya_konservnaya_148.jpg","фото")</f>
        <v>фото</v>
      </c>
      <c r="C731" s="38"/>
      <c r="D731" s="38"/>
      <c r="E731" s="39"/>
      <c r="F731" s="39" t="s">
        <v>901</v>
      </c>
      <c r="G731" s="40">
        <v>4</v>
      </c>
      <c r="H731" s="39" t="s">
        <v>101</v>
      </c>
      <c r="I731" s="39" t="s">
        <v>287</v>
      </c>
      <c r="J731" s="41">
        <v>1000</v>
      </c>
      <c r="K731" s="42">
        <v>6.5</v>
      </c>
      <c r="L731" s="43"/>
      <c r="M731" s="43">
        <f>L731*K731</f>
        <v>0</v>
      </c>
      <c r="N731" s="35">
        <v>4607149402366</v>
      </c>
    </row>
    <row r="732" spans="1:14" ht="24" customHeight="1" outlineLevel="3" x14ac:dyDescent="0.2">
      <c r="A732" s="45">
        <v>16003</v>
      </c>
      <c r="B732" s="37" t="str">
        <f>HYPERLINK("http://sedek.ru/upload/iblock/e11/kukuruza_lakomka_belogorya.jpg","фото")</f>
        <v>фото</v>
      </c>
      <c r="C732" s="38"/>
      <c r="D732" s="38"/>
      <c r="E732" s="39"/>
      <c r="F732" s="39" t="s">
        <v>902</v>
      </c>
      <c r="G732" s="40">
        <v>5</v>
      </c>
      <c r="H732" s="39" t="s">
        <v>101</v>
      </c>
      <c r="I732" s="39" t="s">
        <v>102</v>
      </c>
      <c r="J732" s="41">
        <v>1000</v>
      </c>
      <c r="K732" s="42">
        <v>15.6</v>
      </c>
      <c r="L732" s="43"/>
      <c r="M732" s="43">
        <f>L732*K732</f>
        <v>0</v>
      </c>
      <c r="N732" s="35">
        <v>4607149400836</v>
      </c>
    </row>
    <row r="733" spans="1:14" ht="36" customHeight="1" outlineLevel="3" x14ac:dyDescent="0.2">
      <c r="A733" s="45">
        <v>13593</v>
      </c>
      <c r="B733" s="37" t="str">
        <f>HYPERLINK("http://sedek.ru/upload/iblock/fbc/kukuruza_lakomka.jpg","фото")</f>
        <v>фото</v>
      </c>
      <c r="C733" s="38"/>
      <c r="D733" s="38"/>
      <c r="E733" s="39"/>
      <c r="F733" s="39" t="s">
        <v>903</v>
      </c>
      <c r="G733" s="40">
        <v>5</v>
      </c>
      <c r="H733" s="39" t="s">
        <v>101</v>
      </c>
      <c r="I733" s="39" t="s">
        <v>102</v>
      </c>
      <c r="J733" s="41">
        <v>1000</v>
      </c>
      <c r="K733" s="42">
        <v>20</v>
      </c>
      <c r="L733" s="43"/>
      <c r="M733" s="43">
        <f>L733*K733</f>
        <v>0</v>
      </c>
      <c r="N733" s="35">
        <v>4690368008778</v>
      </c>
    </row>
    <row r="734" spans="1:14" ht="36" customHeight="1" outlineLevel="3" x14ac:dyDescent="0.2">
      <c r="A734" s="45">
        <v>13593</v>
      </c>
      <c r="B734" s="37" t="str">
        <f>HYPERLINK("http://sedek.ru/upload/iblock/fbc/kukuruza_lakomka.jpg","фото")</f>
        <v>фото</v>
      </c>
      <c r="C734" s="38"/>
      <c r="D734" s="38"/>
      <c r="E734" s="39"/>
      <c r="F734" s="39" t="s">
        <v>904</v>
      </c>
      <c r="G734" s="40">
        <v>5</v>
      </c>
      <c r="H734" s="39" t="s">
        <v>101</v>
      </c>
      <c r="I734" s="39" t="s">
        <v>287</v>
      </c>
      <c r="J734" s="41">
        <v>1000</v>
      </c>
      <c r="K734" s="42">
        <v>9.4</v>
      </c>
      <c r="L734" s="43"/>
      <c r="M734" s="43">
        <f>L734*K734</f>
        <v>0</v>
      </c>
      <c r="N734" s="35">
        <v>4690368011976</v>
      </c>
    </row>
    <row r="735" spans="1:14" ht="24" customHeight="1" outlineLevel="3" x14ac:dyDescent="0.2">
      <c r="A735" s="45">
        <v>15166</v>
      </c>
      <c r="B735" s="37" t="str">
        <f>HYPERLINK("http://sedek.ru/upload/iblock/183/kukuruza_madonna_f1.jpg","фото")</f>
        <v>фото</v>
      </c>
      <c r="C735" s="38"/>
      <c r="D735" s="38"/>
      <c r="E735" s="39"/>
      <c r="F735" s="39" t="s">
        <v>905</v>
      </c>
      <c r="G735" s="40">
        <v>4</v>
      </c>
      <c r="H735" s="39" t="s">
        <v>101</v>
      </c>
      <c r="I735" s="39" t="s">
        <v>102</v>
      </c>
      <c r="J735" s="41">
        <v>1000</v>
      </c>
      <c r="K735" s="42">
        <v>26.4</v>
      </c>
      <c r="L735" s="43"/>
      <c r="M735" s="43">
        <f>L735*K735</f>
        <v>0</v>
      </c>
      <c r="N735" s="35">
        <v>4607015187151</v>
      </c>
    </row>
    <row r="736" spans="1:14" ht="36" customHeight="1" outlineLevel="3" x14ac:dyDescent="0.2">
      <c r="A736" s="45">
        <v>13984</v>
      </c>
      <c r="B736" s="37" t="str">
        <f>HYPERLINK("http://sedek.ru/upload/iblock/19a/kukuruza_mechta_gurmana.jpg","фото")</f>
        <v>фото</v>
      </c>
      <c r="C736" s="38"/>
      <c r="D736" s="38"/>
      <c r="E736" s="39"/>
      <c r="F736" s="39" t="s">
        <v>906</v>
      </c>
      <c r="G736" s="40">
        <v>5</v>
      </c>
      <c r="H736" s="39" t="s">
        <v>101</v>
      </c>
      <c r="I736" s="39" t="s">
        <v>102</v>
      </c>
      <c r="J736" s="41">
        <v>1000</v>
      </c>
      <c r="K736" s="42">
        <v>26.4</v>
      </c>
      <c r="L736" s="43"/>
      <c r="M736" s="43">
        <f>L736*K736</f>
        <v>0</v>
      </c>
      <c r="N736" s="35">
        <v>4690368012577</v>
      </c>
    </row>
    <row r="737" spans="1:14" ht="36" customHeight="1" outlineLevel="3" x14ac:dyDescent="0.2">
      <c r="A737" s="45">
        <v>16429</v>
      </c>
      <c r="B737" s="37" t="str">
        <f>HYPERLINK("http://sedek.ru/upload/iblock/ab3/kukuruza_nika_353_f1.jpg","фото")</f>
        <v>фото</v>
      </c>
      <c r="C737" s="38"/>
      <c r="D737" s="38"/>
      <c r="E737" s="39"/>
      <c r="F737" s="39" t="s">
        <v>907</v>
      </c>
      <c r="G737" s="40">
        <v>4</v>
      </c>
      <c r="H737" s="39" t="s">
        <v>101</v>
      </c>
      <c r="I737" s="39" t="s">
        <v>102</v>
      </c>
      <c r="J737" s="41">
        <v>1000</v>
      </c>
      <c r="K737" s="42">
        <v>20</v>
      </c>
      <c r="L737" s="43"/>
      <c r="M737" s="43">
        <f>L737*K737</f>
        <v>0</v>
      </c>
      <c r="N737" s="35">
        <v>4607015187168</v>
      </c>
    </row>
    <row r="738" spans="1:14" ht="36" customHeight="1" outlineLevel="3" x14ac:dyDescent="0.2">
      <c r="A738" s="45">
        <v>16429</v>
      </c>
      <c r="B738" s="37" t="str">
        <f>HYPERLINK("http://sedek.ru/upload/iblock/ab3/kukuruza_nika_353_f1.jpg","фото")</f>
        <v>фото</v>
      </c>
      <c r="C738" s="38"/>
      <c r="D738" s="38"/>
      <c r="E738" s="39"/>
      <c r="F738" s="39" t="s">
        <v>908</v>
      </c>
      <c r="G738" s="40">
        <v>4</v>
      </c>
      <c r="H738" s="39" t="s">
        <v>101</v>
      </c>
      <c r="I738" s="39" t="s">
        <v>287</v>
      </c>
      <c r="J738" s="41">
        <v>1000</v>
      </c>
      <c r="K738" s="42">
        <v>9.4</v>
      </c>
      <c r="L738" s="43"/>
      <c r="M738" s="43">
        <f>L738*K738</f>
        <v>0</v>
      </c>
      <c r="N738" s="35">
        <v>4690368006194</v>
      </c>
    </row>
    <row r="739" spans="1:14" ht="36" customHeight="1" outlineLevel="3" x14ac:dyDescent="0.2">
      <c r="A739" s="45">
        <v>16272</v>
      </c>
      <c r="B739" s="37" t="str">
        <f>HYPERLINK("http://sedek.ru/upload/iblock/c0c/kukuruza_palomnik.jpg","фото")</f>
        <v>фото</v>
      </c>
      <c r="C739" s="38"/>
      <c r="D739" s="38"/>
      <c r="E739" s="39"/>
      <c r="F739" s="39" t="s">
        <v>909</v>
      </c>
      <c r="G739" s="40">
        <v>5</v>
      </c>
      <c r="H739" s="39" t="s">
        <v>101</v>
      </c>
      <c r="I739" s="39" t="s">
        <v>102</v>
      </c>
      <c r="J739" s="41">
        <v>1000</v>
      </c>
      <c r="K739" s="42">
        <v>20</v>
      </c>
      <c r="L739" s="43"/>
      <c r="M739" s="43">
        <f>L739*K739</f>
        <v>0</v>
      </c>
      <c r="N739" s="35">
        <v>4607015187175</v>
      </c>
    </row>
    <row r="740" spans="1:14" ht="24" customHeight="1" outlineLevel="3" x14ac:dyDescent="0.2">
      <c r="A740" s="45">
        <v>16272</v>
      </c>
      <c r="B740" s="37" t="str">
        <f>HYPERLINK("http://sedek.ru/upload/iblock/c0c/kukuruza_palomnik.jpg","фото")</f>
        <v>фото</v>
      </c>
      <c r="C740" s="38"/>
      <c r="D740" s="38"/>
      <c r="E740" s="39"/>
      <c r="F740" s="39" t="s">
        <v>910</v>
      </c>
      <c r="G740" s="40">
        <v>5</v>
      </c>
      <c r="H740" s="39" t="s">
        <v>101</v>
      </c>
      <c r="I740" s="39" t="s">
        <v>287</v>
      </c>
      <c r="J740" s="41">
        <v>1000</v>
      </c>
      <c r="K740" s="42">
        <v>9.4</v>
      </c>
      <c r="L740" s="43"/>
      <c r="M740" s="43">
        <f>L740*K740</f>
        <v>0</v>
      </c>
      <c r="N740" s="35">
        <v>4607149402922</v>
      </c>
    </row>
    <row r="741" spans="1:14" ht="36" customHeight="1" outlineLevel="3" x14ac:dyDescent="0.2">
      <c r="A741" s="45">
        <v>14398</v>
      </c>
      <c r="B741" s="37" t="str">
        <f>HYPERLINK("http://www.sedek.ru/upload/iblock/47d/kukuruza_rannyaya_lakomka.jpg","фото")</f>
        <v>фото</v>
      </c>
      <c r="C741" s="38"/>
      <c r="D741" s="38"/>
      <c r="E741" s="39"/>
      <c r="F741" s="39" t="s">
        <v>911</v>
      </c>
      <c r="G741" s="40">
        <v>4</v>
      </c>
      <c r="H741" s="39" t="s">
        <v>101</v>
      </c>
      <c r="I741" s="39" t="s">
        <v>102</v>
      </c>
      <c r="J741" s="41">
        <v>1000</v>
      </c>
      <c r="K741" s="42">
        <v>20</v>
      </c>
      <c r="L741" s="43"/>
      <c r="M741" s="43">
        <f>L741*K741</f>
        <v>0</v>
      </c>
      <c r="N741" s="35">
        <v>4690368008785</v>
      </c>
    </row>
    <row r="742" spans="1:14" ht="36" customHeight="1" outlineLevel="3" x14ac:dyDescent="0.2">
      <c r="A742" s="45">
        <v>14398</v>
      </c>
      <c r="B742" s="37" t="str">
        <f>HYPERLINK("http://www.sedek.ru/upload/iblock/47d/kukuruza_rannyaya_lakomka.jpg","фото")</f>
        <v>фото</v>
      </c>
      <c r="C742" s="38"/>
      <c r="D742" s="38"/>
      <c r="E742" s="39"/>
      <c r="F742" s="39" t="s">
        <v>912</v>
      </c>
      <c r="G742" s="40">
        <v>4</v>
      </c>
      <c r="H742" s="39" t="s">
        <v>101</v>
      </c>
      <c r="I742" s="39" t="s">
        <v>287</v>
      </c>
      <c r="J742" s="41">
        <v>1000</v>
      </c>
      <c r="K742" s="42">
        <v>9.4</v>
      </c>
      <c r="L742" s="43"/>
      <c r="M742" s="43">
        <f>L742*K742</f>
        <v>0</v>
      </c>
      <c r="N742" s="35">
        <v>4690368011983</v>
      </c>
    </row>
    <row r="743" spans="1:14" ht="36" customHeight="1" outlineLevel="3" x14ac:dyDescent="0.2">
      <c r="A743" s="45">
        <v>13547</v>
      </c>
      <c r="B743" s="37" t="str">
        <f>HYPERLINK("http://sedek.ru/upload/iblock/6a0/kukuruza_sakharnaya.jpg","фото")</f>
        <v>фото</v>
      </c>
      <c r="C743" s="38"/>
      <c r="D743" s="38"/>
      <c r="E743" s="39"/>
      <c r="F743" s="39" t="s">
        <v>913</v>
      </c>
      <c r="G743" s="40">
        <v>4</v>
      </c>
      <c r="H743" s="39" t="s">
        <v>101</v>
      </c>
      <c r="I743" s="39" t="s">
        <v>102</v>
      </c>
      <c r="J743" s="41">
        <v>1000</v>
      </c>
      <c r="K743" s="42">
        <v>20</v>
      </c>
      <c r="L743" s="43"/>
      <c r="M743" s="43">
        <f>L743*K743</f>
        <v>0</v>
      </c>
      <c r="N743" s="35">
        <v>4607015187182</v>
      </c>
    </row>
    <row r="744" spans="1:14" ht="36" customHeight="1" outlineLevel="3" x14ac:dyDescent="0.2">
      <c r="A744" s="45">
        <v>13547</v>
      </c>
      <c r="B744" s="37" t="str">
        <f>HYPERLINK("http://sedek.ru/upload/iblock/6a0/kukuruza_sakharnaya.jpg","фото")</f>
        <v>фото</v>
      </c>
      <c r="C744" s="38"/>
      <c r="D744" s="38"/>
      <c r="E744" s="39"/>
      <c r="F744" s="39" t="s">
        <v>914</v>
      </c>
      <c r="G744" s="40">
        <v>4</v>
      </c>
      <c r="H744" s="39" t="s">
        <v>101</v>
      </c>
      <c r="I744" s="39" t="s">
        <v>287</v>
      </c>
      <c r="J744" s="41">
        <v>1000</v>
      </c>
      <c r="K744" s="42">
        <v>9.4</v>
      </c>
      <c r="L744" s="43"/>
      <c r="M744" s="43">
        <f>L744*K744</f>
        <v>0</v>
      </c>
      <c r="N744" s="35">
        <v>4607149408344</v>
      </c>
    </row>
    <row r="745" spans="1:14" ht="24" customHeight="1" outlineLevel="3" x14ac:dyDescent="0.2">
      <c r="A745" s="45">
        <v>15109</v>
      </c>
      <c r="B745" s="37" t="str">
        <f>HYPERLINK("http://sedek.ru/upload/iblock/07d/kukuruza_simpatiya.jpg","фото")</f>
        <v>фото</v>
      </c>
      <c r="C745" s="38"/>
      <c r="D745" s="38"/>
      <c r="E745" s="39"/>
      <c r="F745" s="39" t="s">
        <v>915</v>
      </c>
      <c r="G745" s="40">
        <v>4</v>
      </c>
      <c r="H745" s="39" t="s">
        <v>101</v>
      </c>
      <c r="I745" s="39" t="s">
        <v>102</v>
      </c>
      <c r="J745" s="41">
        <v>1000</v>
      </c>
      <c r="K745" s="42">
        <v>22.3</v>
      </c>
      <c r="L745" s="43"/>
      <c r="M745" s="43">
        <f>L745*K745</f>
        <v>0</v>
      </c>
      <c r="N745" s="35">
        <v>4690368008792</v>
      </c>
    </row>
    <row r="746" spans="1:14" ht="24" customHeight="1" outlineLevel="3" x14ac:dyDescent="0.2">
      <c r="A746" s="45">
        <v>15109</v>
      </c>
      <c r="B746" s="37" t="str">
        <f>HYPERLINK("http://sedek.ru/upload/iblock/07d/kukuruza_simpatiya.jpg","фото")</f>
        <v>фото</v>
      </c>
      <c r="C746" s="38"/>
      <c r="D746" s="38"/>
      <c r="E746" s="39"/>
      <c r="F746" s="39" t="s">
        <v>916</v>
      </c>
      <c r="G746" s="40">
        <v>4</v>
      </c>
      <c r="H746" s="39" t="s">
        <v>101</v>
      </c>
      <c r="I746" s="39" t="s">
        <v>287</v>
      </c>
      <c r="J746" s="41">
        <v>1000</v>
      </c>
      <c r="K746" s="42">
        <v>7.8</v>
      </c>
      <c r="L746" s="43"/>
      <c r="M746" s="43">
        <f>L746*K746</f>
        <v>0</v>
      </c>
      <c r="N746" s="35">
        <v>4690368011990</v>
      </c>
    </row>
    <row r="747" spans="1:14" ht="36" customHeight="1" outlineLevel="3" x14ac:dyDescent="0.2">
      <c r="A747" s="45">
        <v>14200</v>
      </c>
      <c r="B747" s="37" t="str">
        <f>HYPERLINK("http://sedek.ru/upload/iblock/41d/kukuruza_sladkoezhka.jpg","фото")</f>
        <v>фото</v>
      </c>
      <c r="C747" s="38"/>
      <c r="D747" s="38"/>
      <c r="E747" s="39"/>
      <c r="F747" s="39" t="s">
        <v>917</v>
      </c>
      <c r="G747" s="40">
        <v>4</v>
      </c>
      <c r="H747" s="39" t="s">
        <v>101</v>
      </c>
      <c r="I747" s="39" t="s">
        <v>102</v>
      </c>
      <c r="J747" s="41">
        <v>1000</v>
      </c>
      <c r="K747" s="42">
        <v>20.5</v>
      </c>
      <c r="L747" s="43"/>
      <c r="M747" s="43">
        <f>L747*K747</f>
        <v>0</v>
      </c>
      <c r="N747" s="35">
        <v>4607149404537</v>
      </c>
    </row>
    <row r="748" spans="1:14" ht="36" customHeight="1" outlineLevel="3" x14ac:dyDescent="0.2">
      <c r="A748" s="45">
        <v>14200</v>
      </c>
      <c r="B748" s="37" t="str">
        <f>HYPERLINK("http://sedek.ru/upload/iblock/41d/kukuruza_sladkoezhka.jpg","фото")</f>
        <v>фото</v>
      </c>
      <c r="C748" s="38"/>
      <c r="D748" s="38"/>
      <c r="E748" s="39"/>
      <c r="F748" s="39" t="s">
        <v>918</v>
      </c>
      <c r="G748" s="40">
        <v>4</v>
      </c>
      <c r="H748" s="39" t="s">
        <v>101</v>
      </c>
      <c r="I748" s="39" t="s">
        <v>287</v>
      </c>
      <c r="J748" s="41">
        <v>1000</v>
      </c>
      <c r="K748" s="42">
        <v>9.9</v>
      </c>
      <c r="L748" s="43"/>
      <c r="M748" s="43">
        <f>L748*K748</f>
        <v>0</v>
      </c>
      <c r="N748" s="35">
        <v>4607149407163</v>
      </c>
    </row>
    <row r="749" spans="1:14" ht="36" customHeight="1" outlineLevel="3" x14ac:dyDescent="0.2">
      <c r="A749" s="45">
        <v>15363</v>
      </c>
      <c r="B749" s="37" t="str">
        <f>HYPERLINK("http://sedek.ru/upload/iblock/69e/kukuruza_utrennyaya_pesnya_f1.JPG","фото")</f>
        <v>фото</v>
      </c>
      <c r="C749" s="38"/>
      <c r="D749" s="38"/>
      <c r="E749" s="39"/>
      <c r="F749" s="39" t="s">
        <v>919</v>
      </c>
      <c r="G749" s="40">
        <v>4</v>
      </c>
      <c r="H749" s="39" t="s">
        <v>101</v>
      </c>
      <c r="I749" s="39" t="s">
        <v>102</v>
      </c>
      <c r="J749" s="41">
        <v>1000</v>
      </c>
      <c r="K749" s="42">
        <v>22.3</v>
      </c>
      <c r="L749" s="43"/>
      <c r="M749" s="43">
        <f>L749*K749</f>
        <v>0</v>
      </c>
      <c r="N749" s="35">
        <v>4607149408993</v>
      </c>
    </row>
    <row r="750" spans="1:14" ht="24" customHeight="1" outlineLevel="3" x14ac:dyDescent="0.2">
      <c r="A750" s="45">
        <v>15363</v>
      </c>
      <c r="B750" s="37" t="str">
        <f>HYPERLINK("http://sedek.ru/upload/iblock/69e/kukuruza_utrennyaya_pesnya_f1.JPG","фото")</f>
        <v>фото</v>
      </c>
      <c r="C750" s="38"/>
      <c r="D750" s="38"/>
      <c r="E750" s="39"/>
      <c r="F750" s="39" t="s">
        <v>920</v>
      </c>
      <c r="G750" s="40">
        <v>4</v>
      </c>
      <c r="H750" s="39" t="s">
        <v>101</v>
      </c>
      <c r="I750" s="39" t="s">
        <v>287</v>
      </c>
      <c r="J750" s="41">
        <v>1000</v>
      </c>
      <c r="K750" s="42">
        <v>10.199999999999999</v>
      </c>
      <c r="L750" s="43"/>
      <c r="M750" s="43">
        <f>L750*K750</f>
        <v>0</v>
      </c>
      <c r="N750" s="35">
        <v>4690368008471</v>
      </c>
    </row>
    <row r="751" spans="1:14" ht="36" customHeight="1" outlineLevel="3" x14ac:dyDescent="0.2">
      <c r="A751" s="45">
        <v>16187</v>
      </c>
      <c r="B751" s="37" t="str">
        <f>HYPERLINK("http://sedek.ru/upload/iblock/252/kukuruza_favorit_f1.jpg","фото")</f>
        <v>фото</v>
      </c>
      <c r="C751" s="38"/>
      <c r="D751" s="38"/>
      <c r="E751" s="39"/>
      <c r="F751" s="39" t="s">
        <v>921</v>
      </c>
      <c r="G751" s="40">
        <v>4</v>
      </c>
      <c r="H751" s="39" t="s">
        <v>101</v>
      </c>
      <c r="I751" s="39" t="s">
        <v>102</v>
      </c>
      <c r="J751" s="41">
        <v>1000</v>
      </c>
      <c r="K751" s="42">
        <v>22.3</v>
      </c>
      <c r="L751" s="43"/>
      <c r="M751" s="43">
        <f>L751*K751</f>
        <v>0</v>
      </c>
      <c r="N751" s="35">
        <v>4607149409006</v>
      </c>
    </row>
    <row r="752" spans="1:14" ht="24" customHeight="1" outlineLevel="3" x14ac:dyDescent="0.2">
      <c r="A752" s="45">
        <v>16187</v>
      </c>
      <c r="B752" s="37" t="str">
        <f>HYPERLINK("http://sedek.ru/upload/iblock/252/kukuruza_favorit_f1.jpg","фото")</f>
        <v>фото</v>
      </c>
      <c r="C752" s="38"/>
      <c r="D752" s="38"/>
      <c r="E752" s="39"/>
      <c r="F752" s="39" t="s">
        <v>922</v>
      </c>
      <c r="G752" s="40">
        <v>4</v>
      </c>
      <c r="H752" s="39" t="s">
        <v>101</v>
      </c>
      <c r="I752" s="39" t="s">
        <v>287</v>
      </c>
      <c r="J752" s="41">
        <v>1000</v>
      </c>
      <c r="K752" s="42">
        <v>10.8</v>
      </c>
      <c r="L752" s="43"/>
      <c r="M752" s="43">
        <f>L752*K752</f>
        <v>0</v>
      </c>
      <c r="N752" s="35">
        <v>4690368008488</v>
      </c>
    </row>
    <row r="753" spans="1:14" ht="12" customHeight="1" outlineLevel="2" x14ac:dyDescent="0.2">
      <c r="A753" s="22"/>
      <c r="B753" s="23"/>
      <c r="C753" s="23"/>
      <c r="D753" s="23"/>
      <c r="E753" s="24"/>
      <c r="F753" s="24" t="s">
        <v>923</v>
      </c>
      <c r="G753" s="24"/>
      <c r="H753" s="24"/>
      <c r="I753" s="24"/>
      <c r="J753" s="24"/>
      <c r="K753" s="24"/>
      <c r="L753" s="24"/>
      <c r="M753" s="24"/>
      <c r="N753" s="25"/>
    </row>
    <row r="754" spans="1:14" ht="24" customHeight="1" outlineLevel="3" x14ac:dyDescent="0.2">
      <c r="A754" s="36" t="s">
        <v>924</v>
      </c>
      <c r="B754" s="37" t="str">
        <f>HYPERLINK("http://www.sedek.ru/upload/iblock/bb1/lagenariya_butyl_f1_butylochnaya_tykva.jpg","фото")</f>
        <v>фото</v>
      </c>
      <c r="C754" s="38"/>
      <c r="D754" s="38"/>
      <c r="E754" s="39"/>
      <c r="F754" s="39" t="s">
        <v>925</v>
      </c>
      <c r="G754" s="44">
        <v>0.5</v>
      </c>
      <c r="H754" s="39" t="s">
        <v>101</v>
      </c>
      <c r="I754" s="39" t="s">
        <v>102</v>
      </c>
      <c r="J754" s="41">
        <v>2000</v>
      </c>
      <c r="K754" s="42">
        <v>33.4</v>
      </c>
      <c r="L754" s="43"/>
      <c r="M754" s="43">
        <f>L754*K754</f>
        <v>0</v>
      </c>
      <c r="N754" s="35">
        <v>4690368035095</v>
      </c>
    </row>
    <row r="755" spans="1:14" ht="36" customHeight="1" outlineLevel="3" x14ac:dyDescent="0.2">
      <c r="A755" s="45">
        <v>16416</v>
      </c>
      <c r="B755" s="37" t="str">
        <f>HYPERLINK("http://www.sedek.ru/upload/iblock/cd8/lagenariya_sekret_tsilindricheskaya.jpg","фото")</f>
        <v>фото</v>
      </c>
      <c r="C755" s="38"/>
      <c r="D755" s="38" t="s">
        <v>266</v>
      </c>
      <c r="E755" s="39"/>
      <c r="F755" s="39" t="s">
        <v>926</v>
      </c>
      <c r="G755" s="40">
        <v>2</v>
      </c>
      <c r="H755" s="39" t="s">
        <v>101</v>
      </c>
      <c r="I755" s="39" t="s">
        <v>102</v>
      </c>
      <c r="J755" s="41">
        <v>2000</v>
      </c>
      <c r="K755" s="42">
        <v>61.5</v>
      </c>
      <c r="L755" s="43"/>
      <c r="M755" s="43">
        <f>L755*K755</f>
        <v>0</v>
      </c>
      <c r="N755" s="35">
        <v>4607015186352</v>
      </c>
    </row>
    <row r="756" spans="1:14" ht="12" customHeight="1" outlineLevel="2" x14ac:dyDescent="0.2">
      <c r="A756" s="22"/>
      <c r="B756" s="23"/>
      <c r="C756" s="23"/>
      <c r="D756" s="23"/>
      <c r="E756" s="24"/>
      <c r="F756" s="24" t="s">
        <v>927</v>
      </c>
      <c r="G756" s="24"/>
      <c r="H756" s="24"/>
      <c r="I756" s="24"/>
      <c r="J756" s="24"/>
      <c r="K756" s="24"/>
      <c r="L756" s="24"/>
      <c r="M756" s="24"/>
      <c r="N756" s="25"/>
    </row>
    <row r="757" spans="1:14" ht="36" customHeight="1" outlineLevel="3" x14ac:dyDescent="0.2">
      <c r="A757" s="45">
        <v>13774</v>
      </c>
      <c r="B757" s="37" t="str">
        <f>HYPERLINK("http://sedek.ru/upload/iblock/af8/valeriana_lekarstvennaya_doktor_serdechnyy.jpg","фото")</f>
        <v>фото</v>
      </c>
      <c r="C757" s="38"/>
      <c r="D757" s="38"/>
      <c r="E757" s="39"/>
      <c r="F757" s="39" t="s">
        <v>928</v>
      </c>
      <c r="G757" s="54">
        <v>0.05</v>
      </c>
      <c r="H757" s="39" t="s">
        <v>101</v>
      </c>
      <c r="I757" s="39" t="s">
        <v>102</v>
      </c>
      <c r="J757" s="41">
        <v>3000</v>
      </c>
      <c r="K757" s="42">
        <v>19.3</v>
      </c>
      <c r="L757" s="43"/>
      <c r="M757" s="43">
        <f>L757*K757</f>
        <v>0</v>
      </c>
      <c r="N757" s="35">
        <v>4690368004329</v>
      </c>
    </row>
    <row r="758" spans="1:14" ht="36" customHeight="1" outlineLevel="3" x14ac:dyDescent="0.2">
      <c r="A758" s="45">
        <v>15305</v>
      </c>
      <c r="B758" s="37" t="str">
        <f>HYPERLINK("http://sedek.ru/upload/iblock/23e/dushitsa_raduga.jpg","фото")</f>
        <v>фото</v>
      </c>
      <c r="C758" s="38"/>
      <c r="D758" s="38"/>
      <c r="E758" s="39"/>
      <c r="F758" s="39" t="s">
        <v>929</v>
      </c>
      <c r="G758" s="54">
        <v>0.05</v>
      </c>
      <c r="H758" s="39" t="s">
        <v>101</v>
      </c>
      <c r="I758" s="39" t="s">
        <v>102</v>
      </c>
      <c r="J758" s="41">
        <v>5000</v>
      </c>
      <c r="K758" s="42">
        <v>19.3</v>
      </c>
      <c r="L758" s="43"/>
      <c r="M758" s="43">
        <f>L758*K758</f>
        <v>0</v>
      </c>
      <c r="N758" s="35">
        <v>4690368012409</v>
      </c>
    </row>
    <row r="759" spans="1:14" ht="36" customHeight="1" outlineLevel="3" x14ac:dyDescent="0.2">
      <c r="A759" s="45">
        <v>15064</v>
      </c>
      <c r="B759" s="37" t="str">
        <f>HYPERLINK("http://sedek.ru/upload/iblock/aa4/dushitsa_obyknovennaya_rozovaya_feya.jpg","фото")</f>
        <v>фото</v>
      </c>
      <c r="C759" s="38"/>
      <c r="D759" s="38"/>
      <c r="E759" s="39"/>
      <c r="F759" s="39" t="s">
        <v>930</v>
      </c>
      <c r="G759" s="54">
        <v>0.05</v>
      </c>
      <c r="H759" s="39" t="s">
        <v>101</v>
      </c>
      <c r="I759" s="39" t="s">
        <v>102</v>
      </c>
      <c r="J759" s="41">
        <v>5000</v>
      </c>
      <c r="K759" s="42">
        <v>19.3</v>
      </c>
      <c r="L759" s="43"/>
      <c r="M759" s="43">
        <f>L759*K759</f>
        <v>0</v>
      </c>
      <c r="N759" s="35">
        <v>4607149406616</v>
      </c>
    </row>
    <row r="760" spans="1:14" ht="36" customHeight="1" outlineLevel="3" x14ac:dyDescent="0.2">
      <c r="A760" s="45">
        <v>13743</v>
      </c>
      <c r="B760" s="37" t="str">
        <f>HYPERLINK("http://sedek.ru/upload/iblock/421/kalendula_lekarstvennaya_doktor_semeynyy.jpg","фото")</f>
        <v>фото</v>
      </c>
      <c r="C760" s="38"/>
      <c r="D760" s="38"/>
      <c r="E760" s="39"/>
      <c r="F760" s="39" t="s">
        <v>931</v>
      </c>
      <c r="G760" s="40">
        <v>1</v>
      </c>
      <c r="H760" s="39" t="s">
        <v>101</v>
      </c>
      <c r="I760" s="39" t="s">
        <v>102</v>
      </c>
      <c r="J760" s="41">
        <v>1500</v>
      </c>
      <c r="K760" s="42">
        <v>24</v>
      </c>
      <c r="L760" s="43"/>
      <c r="M760" s="43">
        <f>L760*K760</f>
        <v>0</v>
      </c>
      <c r="N760" s="35">
        <v>4690368006101</v>
      </c>
    </row>
    <row r="761" spans="1:14" ht="48" customHeight="1" outlineLevel="3" x14ac:dyDescent="0.2">
      <c r="A761" s="45">
        <v>14475</v>
      </c>
      <c r="B761" s="37" t="str">
        <f>HYPERLINK("http://sedek.ru/upload/iblock/2fe/podorozhnik_bolshoy_pokhodnyy_doktor.jpg","фото")</f>
        <v>фото</v>
      </c>
      <c r="C761" s="38"/>
      <c r="D761" s="38"/>
      <c r="E761" s="39"/>
      <c r="F761" s="39" t="s">
        <v>932</v>
      </c>
      <c r="G761" s="44">
        <v>0.2</v>
      </c>
      <c r="H761" s="39" t="s">
        <v>101</v>
      </c>
      <c r="I761" s="39" t="s">
        <v>102</v>
      </c>
      <c r="J761" s="41">
        <v>4000</v>
      </c>
      <c r="K761" s="42">
        <v>19.3</v>
      </c>
      <c r="L761" s="43"/>
      <c r="M761" s="43">
        <f>L761*K761</f>
        <v>0</v>
      </c>
      <c r="N761" s="35">
        <v>4690368006118</v>
      </c>
    </row>
    <row r="762" spans="1:14" ht="36" customHeight="1" outlineLevel="3" x14ac:dyDescent="0.2">
      <c r="A762" s="45">
        <v>16794</v>
      </c>
      <c r="B762" s="37" t="str">
        <f>HYPERLINK("http://sedek.ru/upload/iblock/c49/rastoropsha_dobrogo_zdorovya.jpg","фото")</f>
        <v>фото</v>
      </c>
      <c r="C762" s="38"/>
      <c r="D762" s="38"/>
      <c r="E762" s="39"/>
      <c r="F762" s="39" t="s">
        <v>933</v>
      </c>
      <c r="G762" s="44">
        <v>0.2</v>
      </c>
      <c r="H762" s="39" t="s">
        <v>101</v>
      </c>
      <c r="I762" s="39" t="s">
        <v>102</v>
      </c>
      <c r="J762" s="41">
        <v>3000</v>
      </c>
      <c r="K762" s="42">
        <v>19.3</v>
      </c>
      <c r="L762" s="43"/>
      <c r="M762" s="43">
        <f>L762*K762</f>
        <v>0</v>
      </c>
      <c r="N762" s="35">
        <v>4690368023658</v>
      </c>
    </row>
    <row r="763" spans="1:14" ht="48" customHeight="1" outlineLevel="3" x14ac:dyDescent="0.2">
      <c r="A763" s="45">
        <v>13558</v>
      </c>
      <c r="B763" s="37" t="str">
        <f>HYPERLINK("http://sedek.ru/upload/iblock/c88/romashka_aptechnaya_vorozheya.jpg","фото")</f>
        <v>фото</v>
      </c>
      <c r="C763" s="38"/>
      <c r="D763" s="38"/>
      <c r="E763" s="39"/>
      <c r="F763" s="39" t="s">
        <v>934</v>
      </c>
      <c r="G763" s="44">
        <v>0.1</v>
      </c>
      <c r="H763" s="39" t="s">
        <v>101</v>
      </c>
      <c r="I763" s="39" t="s">
        <v>102</v>
      </c>
      <c r="J763" s="41">
        <v>3500</v>
      </c>
      <c r="K763" s="42">
        <v>19.3</v>
      </c>
      <c r="L763" s="43"/>
      <c r="M763" s="43">
        <f>L763*K763</f>
        <v>0</v>
      </c>
      <c r="N763" s="35">
        <v>4607015188929</v>
      </c>
    </row>
    <row r="764" spans="1:14" ht="36" customHeight="1" outlineLevel="3" x14ac:dyDescent="0.2">
      <c r="A764" s="45">
        <v>15279</v>
      </c>
      <c r="B764" s="37" t="str">
        <f>HYPERLINK("http://sedek.ru/upload/iblock/f11/tysyachelistnik_lekarstvennyy_domashniy_doktor.jpg","фото")</f>
        <v>фото</v>
      </c>
      <c r="C764" s="38"/>
      <c r="D764" s="38"/>
      <c r="E764" s="39"/>
      <c r="F764" s="39" t="s">
        <v>935</v>
      </c>
      <c r="G764" s="54">
        <v>0.05</v>
      </c>
      <c r="H764" s="39" t="s">
        <v>101</v>
      </c>
      <c r="I764" s="39" t="s">
        <v>102</v>
      </c>
      <c r="J764" s="41">
        <v>3500</v>
      </c>
      <c r="K764" s="42">
        <v>19.3</v>
      </c>
      <c r="L764" s="43"/>
      <c r="M764" s="43">
        <f>L764*K764</f>
        <v>0</v>
      </c>
      <c r="N764" s="35">
        <v>4690368000314</v>
      </c>
    </row>
    <row r="765" spans="1:14" ht="36" customHeight="1" outlineLevel="3" x14ac:dyDescent="0.2">
      <c r="A765" s="45">
        <v>16332</v>
      </c>
      <c r="B765" s="37" t="str">
        <f>HYPERLINK("http://sedek.ru/upload/iblock/2de/ekhinatseya_purpurnaya_doktor_panatseya.jpg","фото")</f>
        <v>фото</v>
      </c>
      <c r="C765" s="38"/>
      <c r="D765" s="38"/>
      <c r="E765" s="39"/>
      <c r="F765" s="39" t="s">
        <v>936</v>
      </c>
      <c r="G765" s="44">
        <v>0.1</v>
      </c>
      <c r="H765" s="39" t="s">
        <v>101</v>
      </c>
      <c r="I765" s="39" t="s">
        <v>102</v>
      </c>
      <c r="J765" s="41">
        <v>3000</v>
      </c>
      <c r="K765" s="42">
        <v>19.3</v>
      </c>
      <c r="L765" s="43"/>
      <c r="M765" s="43">
        <f>L765*K765</f>
        <v>0</v>
      </c>
      <c r="N765" s="35">
        <v>4690368004336</v>
      </c>
    </row>
    <row r="766" spans="1:14" ht="12" customHeight="1" outlineLevel="2" x14ac:dyDescent="0.2">
      <c r="A766" s="22"/>
      <c r="B766" s="23"/>
      <c r="C766" s="23"/>
      <c r="D766" s="23"/>
      <c r="E766" s="24"/>
      <c r="F766" s="24" t="s">
        <v>937</v>
      </c>
      <c r="G766" s="24"/>
      <c r="H766" s="24"/>
      <c r="I766" s="24"/>
      <c r="J766" s="24"/>
      <c r="K766" s="24"/>
      <c r="L766" s="24"/>
      <c r="M766" s="24"/>
      <c r="N766" s="25"/>
    </row>
    <row r="767" spans="1:14" ht="24" customHeight="1" outlineLevel="3" x14ac:dyDescent="0.2">
      <c r="A767" s="45">
        <v>14120</v>
      </c>
      <c r="B767" s="37" t="str">
        <f>HYPERLINK("http://sedek.ru/upload/iblock/286/luk_agro_ozimyy.jpg","фото")</f>
        <v>фото</v>
      </c>
      <c r="C767" s="38"/>
      <c r="D767" s="38"/>
      <c r="E767" s="39"/>
      <c r="F767" s="39" t="s">
        <v>938</v>
      </c>
      <c r="G767" s="44">
        <v>0.5</v>
      </c>
      <c r="H767" s="39" t="s">
        <v>101</v>
      </c>
      <c r="I767" s="39" t="s">
        <v>102</v>
      </c>
      <c r="J767" s="41">
        <v>2500</v>
      </c>
      <c r="K767" s="42">
        <v>23.8</v>
      </c>
      <c r="L767" s="43"/>
      <c r="M767" s="43">
        <f>L767*K767</f>
        <v>0</v>
      </c>
      <c r="N767" s="35">
        <v>4607116267325</v>
      </c>
    </row>
    <row r="768" spans="1:14" ht="24" customHeight="1" outlineLevel="3" x14ac:dyDescent="0.2">
      <c r="A768" s="36" t="s">
        <v>939</v>
      </c>
      <c r="B768" s="37" t="str">
        <f>HYPERLINK("http://www.sedek.ru/upload/iblock/192/luk_azhur_repchatyy.jpg","Фото")</f>
        <v>Фото</v>
      </c>
      <c r="C768" s="38"/>
      <c r="D768" s="38"/>
      <c r="E768" s="39" t="s">
        <v>263</v>
      </c>
      <c r="F768" s="39" t="s">
        <v>940</v>
      </c>
      <c r="G768" s="40">
        <v>1</v>
      </c>
      <c r="H768" s="39" t="s">
        <v>101</v>
      </c>
      <c r="I768" s="39" t="s">
        <v>102</v>
      </c>
      <c r="J768" s="41">
        <v>2000</v>
      </c>
      <c r="K768" s="42">
        <v>19.3</v>
      </c>
      <c r="L768" s="43"/>
      <c r="M768" s="43">
        <f>L768*K768</f>
        <v>0</v>
      </c>
      <c r="N768" s="35">
        <v>4690368030335</v>
      </c>
    </row>
    <row r="769" spans="1:14" ht="24" customHeight="1" outlineLevel="3" x14ac:dyDescent="0.2">
      <c r="A769" s="36" t="s">
        <v>941</v>
      </c>
      <c r="B769" s="37" t="str">
        <f>HYPERLINK("http://sedek.ru/upload/iblock/e1f/luk_ak1.jpg","фото")</f>
        <v>фото</v>
      </c>
      <c r="C769" s="38"/>
      <c r="D769" s="38" t="s">
        <v>266</v>
      </c>
      <c r="E769" s="39"/>
      <c r="F769" s="39" t="s">
        <v>942</v>
      </c>
      <c r="G769" s="44">
        <v>0.5</v>
      </c>
      <c r="H769" s="39" t="s">
        <v>101</v>
      </c>
      <c r="I769" s="39" t="s">
        <v>102</v>
      </c>
      <c r="J769" s="41">
        <v>2500</v>
      </c>
      <c r="K769" s="42">
        <v>30.9</v>
      </c>
      <c r="L769" s="43"/>
      <c r="M769" s="43">
        <f>L769*K769</f>
        <v>0</v>
      </c>
      <c r="N769" s="35">
        <v>4690368027021</v>
      </c>
    </row>
    <row r="770" spans="1:14" ht="24" customHeight="1" outlineLevel="3" x14ac:dyDescent="0.2">
      <c r="A770" s="36" t="s">
        <v>943</v>
      </c>
      <c r="B770" s="37" t="str">
        <f>HYPERLINK("http://sedek.ru/upload/iblock/288/luk_alligator_porey.jpg","фото")</f>
        <v>фото</v>
      </c>
      <c r="C770" s="38"/>
      <c r="D770" s="38"/>
      <c r="E770" s="39"/>
      <c r="F770" s="39" t="s">
        <v>944</v>
      </c>
      <c r="G770" s="40">
        <v>1</v>
      </c>
      <c r="H770" s="39" t="s">
        <v>101</v>
      </c>
      <c r="I770" s="39" t="s">
        <v>102</v>
      </c>
      <c r="J770" s="41">
        <v>2000</v>
      </c>
      <c r="K770" s="42">
        <v>31.5</v>
      </c>
      <c r="L770" s="43"/>
      <c r="M770" s="43">
        <f>L770*K770</f>
        <v>0</v>
      </c>
      <c r="N770" s="35">
        <v>4690368014359</v>
      </c>
    </row>
    <row r="771" spans="1:14" ht="24" customHeight="1" outlineLevel="3" x14ac:dyDescent="0.2">
      <c r="A771" s="55" t="s">
        <v>945</v>
      </c>
      <c r="B771" s="47" t="str">
        <f>HYPERLINK("http://www.sedek.ru/upload/iblock/ae0/luk_batun_aprelskiy.jpg","фото")</f>
        <v>фото</v>
      </c>
      <c r="C771" s="48"/>
      <c r="D771" s="48"/>
      <c r="E771" s="49"/>
      <c r="F771" s="49" t="s">
        <v>946</v>
      </c>
      <c r="G771" s="50">
        <v>1</v>
      </c>
      <c r="H771" s="49" t="s">
        <v>101</v>
      </c>
      <c r="I771" s="49" t="s">
        <v>102</v>
      </c>
      <c r="J771" s="51">
        <v>2500</v>
      </c>
      <c r="K771" s="52">
        <v>23.5</v>
      </c>
      <c r="L771" s="53"/>
      <c r="M771" s="53">
        <f>L771*K771</f>
        <v>0</v>
      </c>
      <c r="N771" s="35">
        <v>4690368032643</v>
      </c>
    </row>
    <row r="772" spans="1:14" ht="24" customHeight="1" outlineLevel="3" x14ac:dyDescent="0.2">
      <c r="A772" s="45">
        <v>14708</v>
      </c>
      <c r="B772" s="37" t="str">
        <f>HYPERLINK("http://sedek.ru/upload/iblock/814/luk_aprior_dushistyy.jpg","фото")</f>
        <v>фото</v>
      </c>
      <c r="C772" s="38"/>
      <c r="D772" s="38"/>
      <c r="E772" s="39"/>
      <c r="F772" s="39" t="s">
        <v>947</v>
      </c>
      <c r="G772" s="44">
        <v>0.5</v>
      </c>
      <c r="H772" s="39" t="s">
        <v>101</v>
      </c>
      <c r="I772" s="39" t="s">
        <v>102</v>
      </c>
      <c r="J772" s="41">
        <v>2500</v>
      </c>
      <c r="K772" s="42">
        <v>20.5</v>
      </c>
      <c r="L772" s="43"/>
      <c r="M772" s="43">
        <f>L772*K772</f>
        <v>0</v>
      </c>
      <c r="N772" s="35">
        <v>4607015187229</v>
      </c>
    </row>
    <row r="773" spans="1:14" ht="36" customHeight="1" outlineLevel="3" x14ac:dyDescent="0.2">
      <c r="A773" s="45">
        <v>14554</v>
      </c>
      <c r="B773" s="37" t="str">
        <f>HYPERLINK("http://sedek.ru/upload/iblock/d20/luk_bagrovyy_myach.jpg","фото")</f>
        <v>фото</v>
      </c>
      <c r="C773" s="38"/>
      <c r="D773" s="38"/>
      <c r="E773" s="39"/>
      <c r="F773" s="39" t="s">
        <v>948</v>
      </c>
      <c r="G773" s="44">
        <v>0.5</v>
      </c>
      <c r="H773" s="39" t="s">
        <v>101</v>
      </c>
      <c r="I773" s="39" t="s">
        <v>102</v>
      </c>
      <c r="J773" s="41">
        <v>2500</v>
      </c>
      <c r="K773" s="42">
        <v>20.5</v>
      </c>
      <c r="L773" s="43"/>
      <c r="M773" s="43">
        <f>L773*K773</f>
        <v>0</v>
      </c>
      <c r="N773" s="35">
        <v>4607149404643</v>
      </c>
    </row>
    <row r="774" spans="1:14" ht="24" customHeight="1" outlineLevel="3" x14ac:dyDescent="0.2">
      <c r="A774" s="36" t="s">
        <v>949</v>
      </c>
      <c r="B774" s="37" t="str">
        <f>HYPERLINK("http://sedek.ru/upload/iblock/afe/luk_bayram_1.jpg","фото")</f>
        <v>фото</v>
      </c>
      <c r="C774" s="38"/>
      <c r="D774" s="38" t="s">
        <v>266</v>
      </c>
      <c r="E774" s="39"/>
      <c r="F774" s="39" t="s">
        <v>950</v>
      </c>
      <c r="G774" s="44">
        <v>0.5</v>
      </c>
      <c r="H774" s="39" t="s">
        <v>101</v>
      </c>
      <c r="I774" s="39" t="s">
        <v>102</v>
      </c>
      <c r="J774" s="41">
        <v>2500</v>
      </c>
      <c r="K774" s="42">
        <v>28.9</v>
      </c>
      <c r="L774" s="43"/>
      <c r="M774" s="43">
        <f>L774*K774</f>
        <v>0</v>
      </c>
      <c r="N774" s="35">
        <v>4690368026314</v>
      </c>
    </row>
    <row r="775" spans="1:14" ht="24" customHeight="1" outlineLevel="3" x14ac:dyDescent="0.2">
      <c r="A775" s="45">
        <v>16825</v>
      </c>
      <c r="B775" s="37" t="str">
        <f>HYPERLINK("http://sedek.ru/upload/iblock/8e6/luk_banochnyy_konservnyy.jpg","фото")</f>
        <v>фото</v>
      </c>
      <c r="C775" s="38"/>
      <c r="D775" s="38" t="s">
        <v>266</v>
      </c>
      <c r="E775" s="39"/>
      <c r="F775" s="39" t="s">
        <v>951</v>
      </c>
      <c r="G775" s="44">
        <v>0.5</v>
      </c>
      <c r="H775" s="39" t="s">
        <v>101</v>
      </c>
      <c r="I775" s="39" t="s">
        <v>102</v>
      </c>
      <c r="J775" s="41">
        <v>2500</v>
      </c>
      <c r="K775" s="42">
        <v>20</v>
      </c>
      <c r="L775" s="43"/>
      <c r="M775" s="43">
        <f>L775*K775</f>
        <v>0</v>
      </c>
      <c r="N775" s="35">
        <v>4690368025317</v>
      </c>
    </row>
    <row r="776" spans="1:14" ht="24" customHeight="1" outlineLevel="3" x14ac:dyDescent="0.2">
      <c r="A776" s="45">
        <v>14480</v>
      </c>
      <c r="B776" s="37" t="str">
        <f>HYPERLINK("http://sedek.ru/upload/iblock/683/luk_barletta.jpg","фото")</f>
        <v>фото</v>
      </c>
      <c r="C776" s="38"/>
      <c r="D776" s="38"/>
      <c r="E776" s="39"/>
      <c r="F776" s="39" t="s">
        <v>952</v>
      </c>
      <c r="G776" s="40">
        <v>1</v>
      </c>
      <c r="H776" s="39" t="s">
        <v>101</v>
      </c>
      <c r="I776" s="39" t="s">
        <v>102</v>
      </c>
      <c r="J776" s="41">
        <v>2000</v>
      </c>
      <c r="K776" s="42">
        <v>23.8</v>
      </c>
      <c r="L776" s="43"/>
      <c r="M776" s="43">
        <f>L776*K776</f>
        <v>0</v>
      </c>
      <c r="N776" s="35">
        <v>4607015187243</v>
      </c>
    </row>
    <row r="777" spans="1:14" ht="24" customHeight="1" outlineLevel="3" x14ac:dyDescent="0.2">
      <c r="A777" s="36" t="s">
        <v>953</v>
      </c>
      <c r="B777" s="37" t="str">
        <f>HYPERLINK("http://www.sedek.ru/upload/iblock/782/luk_bashar_1.jpg","фото")</f>
        <v>фото</v>
      </c>
      <c r="C777" s="38"/>
      <c r="D777" s="38" t="s">
        <v>266</v>
      </c>
      <c r="E777" s="39"/>
      <c r="F777" s="39" t="s">
        <v>954</v>
      </c>
      <c r="G777" s="44">
        <v>0.5</v>
      </c>
      <c r="H777" s="39" t="s">
        <v>101</v>
      </c>
      <c r="I777" s="39" t="s">
        <v>102</v>
      </c>
      <c r="J777" s="41">
        <v>2500</v>
      </c>
      <c r="K777" s="42">
        <v>30.9</v>
      </c>
      <c r="L777" s="43"/>
      <c r="M777" s="43">
        <f>L777*K777</f>
        <v>0</v>
      </c>
      <c r="N777" s="35">
        <v>4690368027489</v>
      </c>
    </row>
    <row r="778" spans="1:14" ht="24" customHeight="1" outlineLevel="3" x14ac:dyDescent="0.2">
      <c r="A778" s="45">
        <v>16391</v>
      </c>
      <c r="B778" s="37" t="str">
        <f>HYPERLINK("http://sedek.ru/upload/iblock/a85/luk_blond.jpg","фото")</f>
        <v>фото</v>
      </c>
      <c r="C778" s="38"/>
      <c r="D778" s="38"/>
      <c r="E778" s="39"/>
      <c r="F778" s="39" t="s">
        <v>955</v>
      </c>
      <c r="G778" s="40">
        <v>1</v>
      </c>
      <c r="H778" s="39" t="s">
        <v>101</v>
      </c>
      <c r="I778" s="39" t="s">
        <v>102</v>
      </c>
      <c r="J778" s="41">
        <v>2000</v>
      </c>
      <c r="K778" s="42">
        <v>23.8</v>
      </c>
      <c r="L778" s="43"/>
      <c r="M778" s="43">
        <f>L778*K778</f>
        <v>0</v>
      </c>
      <c r="N778" s="35">
        <v>4607015187250</v>
      </c>
    </row>
    <row r="779" spans="1:14" ht="24" customHeight="1" outlineLevel="3" x14ac:dyDescent="0.2">
      <c r="A779" s="45">
        <v>16391</v>
      </c>
      <c r="B779" s="37" t="str">
        <f>HYPERLINK("http://sedek.ru/upload/iblock/a85/luk_blond.jpg","фото")</f>
        <v>фото</v>
      </c>
      <c r="C779" s="38"/>
      <c r="D779" s="38"/>
      <c r="E779" s="39"/>
      <c r="F779" s="39" t="s">
        <v>956</v>
      </c>
      <c r="G779" s="40">
        <v>1</v>
      </c>
      <c r="H779" s="39" t="s">
        <v>101</v>
      </c>
      <c r="I779" s="39" t="s">
        <v>287</v>
      </c>
      <c r="J779" s="41">
        <v>2000</v>
      </c>
      <c r="K779" s="42">
        <v>10.3</v>
      </c>
      <c r="L779" s="43"/>
      <c r="M779" s="43">
        <f>L779*K779</f>
        <v>0</v>
      </c>
      <c r="N779" s="35">
        <v>4690368011105</v>
      </c>
    </row>
    <row r="780" spans="1:14" ht="24" customHeight="1" outlineLevel="3" x14ac:dyDescent="0.2">
      <c r="A780" s="45">
        <v>13636</v>
      </c>
      <c r="B780" s="37" t="str">
        <f>HYPERLINK("http://sedek.ru/upload/iblock/f7a/luk_vesna_severa_shnitt.jpg","фото")</f>
        <v>фото</v>
      </c>
      <c r="C780" s="38"/>
      <c r="D780" s="38"/>
      <c r="E780" s="39"/>
      <c r="F780" s="39" t="s">
        <v>957</v>
      </c>
      <c r="G780" s="44">
        <v>0.5</v>
      </c>
      <c r="H780" s="39" t="s">
        <v>101</v>
      </c>
      <c r="I780" s="39" t="s">
        <v>102</v>
      </c>
      <c r="J780" s="41">
        <v>2500</v>
      </c>
      <c r="K780" s="42">
        <v>25.6</v>
      </c>
      <c r="L780" s="43"/>
      <c r="M780" s="43">
        <f>L780*K780</f>
        <v>0</v>
      </c>
      <c r="N780" s="35">
        <v>4690368022477</v>
      </c>
    </row>
    <row r="781" spans="1:14" ht="24" customHeight="1" outlineLevel="3" x14ac:dyDescent="0.2">
      <c r="A781" s="36" t="s">
        <v>958</v>
      </c>
      <c r="B781" s="37" t="str">
        <f>HYPERLINK("http://www.sedek.ru/upload/iblock/0c9/luk_vostorg.jpg","фото")</f>
        <v>фото</v>
      </c>
      <c r="C781" s="38"/>
      <c r="D781" s="38"/>
      <c r="E781" s="39"/>
      <c r="F781" s="39" t="s">
        <v>959</v>
      </c>
      <c r="G781" s="40">
        <v>1</v>
      </c>
      <c r="H781" s="39" t="s">
        <v>101</v>
      </c>
      <c r="I781" s="39" t="s">
        <v>102</v>
      </c>
      <c r="J781" s="41">
        <v>2000</v>
      </c>
      <c r="K781" s="42">
        <v>20.5</v>
      </c>
      <c r="L781" s="43"/>
      <c r="M781" s="43">
        <f>L781*K781</f>
        <v>0</v>
      </c>
      <c r="N781" s="35">
        <v>4607015184983</v>
      </c>
    </row>
    <row r="782" spans="1:14" ht="24" customHeight="1" outlineLevel="3" x14ac:dyDescent="0.2">
      <c r="A782" s="36" t="s">
        <v>960</v>
      </c>
      <c r="B782" s="37" t="str">
        <f>HYPERLINK("http://sedek.ru/upload/iblock/f8c/luk_gordion.jpg","фото")</f>
        <v>фото</v>
      </c>
      <c r="C782" s="38"/>
      <c r="D782" s="38"/>
      <c r="E782" s="39"/>
      <c r="F782" s="39" t="s">
        <v>961</v>
      </c>
      <c r="G782" s="44">
        <v>0.5</v>
      </c>
      <c r="H782" s="39" t="s">
        <v>101</v>
      </c>
      <c r="I782" s="39" t="s">
        <v>102</v>
      </c>
      <c r="J782" s="41">
        <v>2500</v>
      </c>
      <c r="K782" s="42">
        <v>28.9</v>
      </c>
      <c r="L782" s="43"/>
      <c r="M782" s="43">
        <f>L782*K782</f>
        <v>0</v>
      </c>
      <c r="N782" s="35">
        <v>4690368026321</v>
      </c>
    </row>
    <row r="783" spans="1:14" ht="36" customHeight="1" outlineLevel="3" x14ac:dyDescent="0.2">
      <c r="A783" s="45">
        <v>16327</v>
      </c>
      <c r="B783" s="37" t="str">
        <f>HYPERLINK("http://sedek.ru/upload/iblock/7d1/luk_zhirnolistnyy.jpg","фото")</f>
        <v>фото</v>
      </c>
      <c r="C783" s="38"/>
      <c r="D783" s="38"/>
      <c r="E783" s="39"/>
      <c r="F783" s="39" t="s">
        <v>962</v>
      </c>
      <c r="G783" s="40">
        <v>1</v>
      </c>
      <c r="H783" s="39" t="s">
        <v>101</v>
      </c>
      <c r="I783" s="39" t="s">
        <v>102</v>
      </c>
      <c r="J783" s="41">
        <v>2000</v>
      </c>
      <c r="K783" s="42">
        <v>26.8</v>
      </c>
      <c r="L783" s="43"/>
      <c r="M783" s="43">
        <f>L783*K783</f>
        <v>0</v>
      </c>
      <c r="N783" s="35">
        <v>4690368009423</v>
      </c>
    </row>
    <row r="784" spans="1:14" ht="36" customHeight="1" outlineLevel="3" x14ac:dyDescent="0.2">
      <c r="A784" s="45">
        <v>15206</v>
      </c>
      <c r="B784" s="37" t="str">
        <f>HYPERLINK("http://sedek.ru/upload/iblock/182/luk_ishikura_long_uayt_batun.jpg","фото")</f>
        <v>фото</v>
      </c>
      <c r="C784" s="38"/>
      <c r="D784" s="38"/>
      <c r="E784" s="39"/>
      <c r="F784" s="39" t="s">
        <v>963</v>
      </c>
      <c r="G784" s="40">
        <v>1</v>
      </c>
      <c r="H784" s="39" t="s">
        <v>101</v>
      </c>
      <c r="I784" s="39" t="s">
        <v>102</v>
      </c>
      <c r="J784" s="41">
        <v>2000</v>
      </c>
      <c r="K784" s="42">
        <v>25.3</v>
      </c>
      <c r="L784" s="43"/>
      <c r="M784" s="43">
        <f>L784*K784</f>
        <v>0</v>
      </c>
      <c r="N784" s="35">
        <v>4607015187267</v>
      </c>
    </row>
    <row r="785" spans="1:14" ht="24" customHeight="1" outlineLevel="3" x14ac:dyDescent="0.2">
      <c r="A785" s="46">
        <v>14626</v>
      </c>
      <c r="B785" s="47" t="str">
        <f>HYPERLINK("http://sedek.ru/upload/iblock/b32/luk_karantanskiy.jpg","фото")</f>
        <v>фото</v>
      </c>
      <c r="C785" s="48"/>
      <c r="D785" s="48"/>
      <c r="E785" s="49"/>
      <c r="F785" s="49" t="s">
        <v>964</v>
      </c>
      <c r="G785" s="50">
        <v>1</v>
      </c>
      <c r="H785" s="49" t="s">
        <v>101</v>
      </c>
      <c r="I785" s="49" t="s">
        <v>102</v>
      </c>
      <c r="J785" s="51">
        <v>2000</v>
      </c>
      <c r="K785" s="52">
        <v>14.8</v>
      </c>
      <c r="L785" s="53"/>
      <c r="M785" s="53">
        <f>L785*K785</f>
        <v>0</v>
      </c>
      <c r="N785" s="35">
        <v>4607149406982</v>
      </c>
    </row>
    <row r="786" spans="1:14" ht="24" customHeight="1" outlineLevel="3" x14ac:dyDescent="0.2">
      <c r="A786" s="71">
        <v>14626</v>
      </c>
      <c r="B786" s="72" t="str">
        <f>HYPERLINK("http://sedek.ru/upload/iblock/b32/luk_karantanskiy.jpg","фото")</f>
        <v>фото</v>
      </c>
      <c r="C786" s="73"/>
      <c r="D786" s="73"/>
      <c r="E786" s="74"/>
      <c r="F786" s="74" t="s">
        <v>965</v>
      </c>
      <c r="G786" s="75">
        <v>1</v>
      </c>
      <c r="H786" s="74" t="s">
        <v>101</v>
      </c>
      <c r="I786" s="74" t="s">
        <v>287</v>
      </c>
      <c r="J786" s="76">
        <v>2000</v>
      </c>
      <c r="K786" s="77">
        <v>9.1</v>
      </c>
      <c r="L786" s="78"/>
      <c r="M786" s="78">
        <f>L786*K786</f>
        <v>0</v>
      </c>
      <c r="N786" s="79">
        <v>4690368000970</v>
      </c>
    </row>
    <row r="787" spans="1:14" ht="36" customHeight="1" outlineLevel="3" x14ac:dyDescent="0.2">
      <c r="A787" s="46">
        <v>13746</v>
      </c>
      <c r="B787" s="47" t="str">
        <f>HYPERLINK("http://sedek.ru/upload/iblock/9d6/luk_karmen_ms.jpg","фото")</f>
        <v>фото</v>
      </c>
      <c r="C787" s="48"/>
      <c r="D787" s="48"/>
      <c r="E787" s="49"/>
      <c r="F787" s="49" t="s">
        <v>966</v>
      </c>
      <c r="G787" s="56">
        <v>0.5</v>
      </c>
      <c r="H787" s="49" t="s">
        <v>101</v>
      </c>
      <c r="I787" s="49" t="s">
        <v>102</v>
      </c>
      <c r="J787" s="51">
        <v>2000</v>
      </c>
      <c r="K787" s="52">
        <v>16.100000000000001</v>
      </c>
      <c r="L787" s="53"/>
      <c r="M787" s="53">
        <f>L787*K787</f>
        <v>0</v>
      </c>
      <c r="N787" s="35">
        <v>4607015187274</v>
      </c>
    </row>
    <row r="788" spans="1:14" ht="36" customHeight="1" outlineLevel="3" x14ac:dyDescent="0.2">
      <c r="A788" s="71">
        <v>13746</v>
      </c>
      <c r="B788" s="72" t="str">
        <f>HYPERLINK("http://sedek.ru/upload/iblock/9d6/luk_karmen_ms.jpg","фото")</f>
        <v>фото</v>
      </c>
      <c r="C788" s="73"/>
      <c r="D788" s="73"/>
      <c r="E788" s="74"/>
      <c r="F788" s="74" t="s">
        <v>967</v>
      </c>
      <c r="G788" s="80">
        <v>0.5</v>
      </c>
      <c r="H788" s="74" t="s">
        <v>101</v>
      </c>
      <c r="I788" s="74" t="s">
        <v>287</v>
      </c>
      <c r="J788" s="76">
        <v>2000</v>
      </c>
      <c r="K788" s="77">
        <v>8.9</v>
      </c>
      <c r="L788" s="78"/>
      <c r="M788" s="78">
        <f>L788*K788</f>
        <v>0</v>
      </c>
      <c r="N788" s="79">
        <v>4607149409709</v>
      </c>
    </row>
    <row r="789" spans="1:14" ht="36" customHeight="1" outlineLevel="3" x14ac:dyDescent="0.2">
      <c r="A789" s="36" t="s">
        <v>968</v>
      </c>
      <c r="B789" s="37" t="str">
        <f>HYPERLINK("http://sedek.ru/upload/iblock/1df/luk_kentavr.jpg","фото")</f>
        <v>фото</v>
      </c>
      <c r="C789" s="38"/>
      <c r="D789" s="38"/>
      <c r="E789" s="39"/>
      <c r="F789" s="39" t="s">
        <v>969</v>
      </c>
      <c r="G789" s="40">
        <v>1</v>
      </c>
      <c r="H789" s="39" t="s">
        <v>101</v>
      </c>
      <c r="I789" s="39" t="s">
        <v>102</v>
      </c>
      <c r="J789" s="41">
        <v>2000</v>
      </c>
      <c r="K789" s="42">
        <v>20</v>
      </c>
      <c r="L789" s="43"/>
      <c r="M789" s="43">
        <f>L789*K789</f>
        <v>0</v>
      </c>
      <c r="N789" s="35">
        <v>4607015185003</v>
      </c>
    </row>
    <row r="790" spans="1:14" ht="24" customHeight="1" outlineLevel="3" x14ac:dyDescent="0.2">
      <c r="A790" s="45">
        <v>16069</v>
      </c>
      <c r="B790" s="37" t="str">
        <f>HYPERLINK("http://sedek.ru/upload/iblock/cc0/luk_kilima.jpg","фото")</f>
        <v>фото</v>
      </c>
      <c r="C790" s="38"/>
      <c r="D790" s="38"/>
      <c r="E790" s="39"/>
      <c r="F790" s="39" t="s">
        <v>970</v>
      </c>
      <c r="G790" s="40">
        <v>1</v>
      </c>
      <c r="H790" s="39" t="s">
        <v>101</v>
      </c>
      <c r="I790" s="39" t="s">
        <v>102</v>
      </c>
      <c r="J790" s="41">
        <v>2000</v>
      </c>
      <c r="K790" s="42">
        <v>30.8</v>
      </c>
      <c r="L790" s="43"/>
      <c r="M790" s="43">
        <f>L790*K790</f>
        <v>0</v>
      </c>
      <c r="N790" s="35">
        <v>4607015187281</v>
      </c>
    </row>
    <row r="791" spans="1:14" ht="24" customHeight="1" outlineLevel="3" x14ac:dyDescent="0.2">
      <c r="A791" s="46">
        <v>16474</v>
      </c>
      <c r="B791" s="47" t="str">
        <f>HYPERLINK("http://sedek.ru/upload/iblock/03b/luk_knyazhich_shalot.jpg","фото")</f>
        <v>фото</v>
      </c>
      <c r="C791" s="48"/>
      <c r="D791" s="48"/>
      <c r="E791" s="49"/>
      <c r="F791" s="49" t="s">
        <v>971</v>
      </c>
      <c r="G791" s="56">
        <v>0.3</v>
      </c>
      <c r="H791" s="49" t="s">
        <v>101</v>
      </c>
      <c r="I791" s="49" t="s">
        <v>102</v>
      </c>
      <c r="J791" s="51">
        <v>2500</v>
      </c>
      <c r="K791" s="52">
        <v>21.8</v>
      </c>
      <c r="L791" s="53"/>
      <c r="M791" s="53">
        <f>L791*K791</f>
        <v>0</v>
      </c>
      <c r="N791" s="35">
        <v>4690368022439</v>
      </c>
    </row>
    <row r="792" spans="1:14" ht="24" customHeight="1" outlineLevel="3" x14ac:dyDescent="0.2">
      <c r="A792" s="45">
        <v>15552</v>
      </c>
      <c r="B792" s="37" t="str">
        <f>HYPERLINK("http://sedek.ru/upload/iblock/7f5/luk_krasnyy_baron.jpg","фото")</f>
        <v>фото</v>
      </c>
      <c r="C792" s="38"/>
      <c r="D792" s="38"/>
      <c r="E792" s="39"/>
      <c r="F792" s="39" t="s">
        <v>972</v>
      </c>
      <c r="G792" s="40">
        <v>1</v>
      </c>
      <c r="H792" s="39" t="s">
        <v>101</v>
      </c>
      <c r="I792" s="39" t="s">
        <v>102</v>
      </c>
      <c r="J792" s="41">
        <v>2000</v>
      </c>
      <c r="K792" s="42">
        <v>22.3</v>
      </c>
      <c r="L792" s="43"/>
      <c r="M792" s="43">
        <f>L792*K792</f>
        <v>0</v>
      </c>
      <c r="N792" s="35">
        <v>4607015187298</v>
      </c>
    </row>
    <row r="793" spans="1:14" ht="24" customHeight="1" outlineLevel="3" x14ac:dyDescent="0.2">
      <c r="A793" s="45">
        <v>15552</v>
      </c>
      <c r="B793" s="37" t="str">
        <f>HYPERLINK("http://sedek.ru/upload/iblock/7f5/luk_krasnyy_baron.jpg","фото")</f>
        <v>фото</v>
      </c>
      <c r="C793" s="38"/>
      <c r="D793" s="38"/>
      <c r="E793" s="39"/>
      <c r="F793" s="39" t="s">
        <v>973</v>
      </c>
      <c r="G793" s="40">
        <v>1</v>
      </c>
      <c r="H793" s="39" t="s">
        <v>101</v>
      </c>
      <c r="I793" s="39" t="s">
        <v>287</v>
      </c>
      <c r="J793" s="41">
        <v>2000</v>
      </c>
      <c r="K793" s="42">
        <v>10.3</v>
      </c>
      <c r="L793" s="43"/>
      <c r="M793" s="43">
        <f>L793*K793</f>
        <v>0</v>
      </c>
      <c r="N793" s="35">
        <v>4607149402847</v>
      </c>
    </row>
    <row r="794" spans="1:14" ht="48" customHeight="1" outlineLevel="3" x14ac:dyDescent="0.2">
      <c r="A794" s="45">
        <v>16346</v>
      </c>
      <c r="B794" s="37" t="str">
        <f>HYPERLINK("http://sedek.ru/upload/iblock/ec1/luk_krasnyy_braunshveygskiy.jpg","фото")</f>
        <v>фото</v>
      </c>
      <c r="C794" s="38"/>
      <c r="D794" s="38"/>
      <c r="E794" s="39"/>
      <c r="F794" s="39" t="s">
        <v>974</v>
      </c>
      <c r="G794" s="40">
        <v>1</v>
      </c>
      <c r="H794" s="39" t="s">
        <v>101</v>
      </c>
      <c r="I794" s="39" t="s">
        <v>102</v>
      </c>
      <c r="J794" s="41">
        <v>2000</v>
      </c>
      <c r="K794" s="42">
        <v>20.5</v>
      </c>
      <c r="L794" s="43"/>
      <c r="M794" s="43">
        <f>L794*K794</f>
        <v>0</v>
      </c>
      <c r="N794" s="35">
        <v>4607015187304</v>
      </c>
    </row>
    <row r="795" spans="1:14" ht="24" customHeight="1" outlineLevel="3" x14ac:dyDescent="0.2">
      <c r="A795" s="36" t="s">
        <v>975</v>
      </c>
      <c r="B795" s="37" t="str">
        <f>HYPERLINK("http://sedek.ru/upload/iblock/29f/luk_kristina.jpg","фото")</f>
        <v>фото</v>
      </c>
      <c r="C795" s="38"/>
      <c r="D795" s="38"/>
      <c r="E795" s="39"/>
      <c r="F795" s="39" t="s">
        <v>976</v>
      </c>
      <c r="G795" s="40">
        <v>1</v>
      </c>
      <c r="H795" s="39" t="s">
        <v>101</v>
      </c>
      <c r="I795" s="39" t="s">
        <v>102</v>
      </c>
      <c r="J795" s="41">
        <v>2000</v>
      </c>
      <c r="K795" s="42">
        <v>20.5</v>
      </c>
      <c r="L795" s="43"/>
      <c r="M795" s="43">
        <f>L795*K795</f>
        <v>0</v>
      </c>
      <c r="N795" s="35">
        <v>4607015185027</v>
      </c>
    </row>
    <row r="796" spans="1:14" ht="24" customHeight="1" outlineLevel="3" x14ac:dyDescent="0.2">
      <c r="A796" s="36" t="s">
        <v>975</v>
      </c>
      <c r="B796" s="37" t="str">
        <f>HYPERLINK("http://sedek.ru/upload/iblock/29f/luk_kristina.jpg","фото")</f>
        <v>фото</v>
      </c>
      <c r="C796" s="38"/>
      <c r="D796" s="38"/>
      <c r="E796" s="39"/>
      <c r="F796" s="39" t="s">
        <v>977</v>
      </c>
      <c r="G796" s="40">
        <v>1</v>
      </c>
      <c r="H796" s="39" t="s">
        <v>101</v>
      </c>
      <c r="I796" s="39" t="s">
        <v>287</v>
      </c>
      <c r="J796" s="41">
        <v>2000</v>
      </c>
      <c r="K796" s="42">
        <v>10.3</v>
      </c>
      <c r="L796" s="43"/>
      <c r="M796" s="43">
        <f>L796*K796</f>
        <v>0</v>
      </c>
      <c r="N796" s="35">
        <v>4690368011129</v>
      </c>
    </row>
    <row r="797" spans="1:14" ht="24" customHeight="1" outlineLevel="3" x14ac:dyDescent="0.2">
      <c r="A797" s="45">
        <v>16063</v>
      </c>
      <c r="B797" s="37" t="str">
        <f>HYPERLINK("http://sedek.ru/upload/iblock/aa5/luk_mayskiy.jpg","фото")</f>
        <v>фото</v>
      </c>
      <c r="C797" s="38"/>
      <c r="D797" s="38"/>
      <c r="E797" s="39"/>
      <c r="F797" s="39" t="s">
        <v>978</v>
      </c>
      <c r="G797" s="40">
        <v>1</v>
      </c>
      <c r="H797" s="39" t="s">
        <v>101</v>
      </c>
      <c r="I797" s="39" t="s">
        <v>102</v>
      </c>
      <c r="J797" s="41">
        <v>2000</v>
      </c>
      <c r="K797" s="42">
        <v>25.5</v>
      </c>
      <c r="L797" s="43"/>
      <c r="M797" s="43">
        <f>L797*K797</f>
        <v>0</v>
      </c>
      <c r="N797" s="35">
        <v>4607149400874</v>
      </c>
    </row>
    <row r="798" spans="1:14" ht="12" customHeight="1" outlineLevel="3" x14ac:dyDescent="0.2">
      <c r="A798" s="45">
        <v>16063</v>
      </c>
      <c r="B798" s="37" t="str">
        <f>HYPERLINK("http://sedek.ru/upload/iblock/aa5/luk_mayskiy.jpg","фото")</f>
        <v>фото</v>
      </c>
      <c r="C798" s="38"/>
      <c r="D798" s="38"/>
      <c r="E798" s="39"/>
      <c r="F798" s="39" t="s">
        <v>979</v>
      </c>
      <c r="G798" s="40">
        <v>1</v>
      </c>
      <c r="H798" s="39" t="s">
        <v>101</v>
      </c>
      <c r="I798" s="39" t="s">
        <v>287</v>
      </c>
      <c r="J798" s="41">
        <v>2000</v>
      </c>
      <c r="K798" s="42">
        <v>12.4</v>
      </c>
      <c r="L798" s="43"/>
      <c r="M798" s="43">
        <f>L798*K798</f>
        <v>0</v>
      </c>
      <c r="N798" s="35">
        <v>4607149405503</v>
      </c>
    </row>
    <row r="799" spans="1:14" ht="24" customHeight="1" outlineLevel="3" x14ac:dyDescent="0.2">
      <c r="A799" s="45">
        <v>14615</v>
      </c>
      <c r="B799" s="37" t="str">
        <f>HYPERLINK("http://sedek.ru/upload/iblock/ca3/luk_medonos.jpg","фото")</f>
        <v>фото</v>
      </c>
      <c r="C799" s="38"/>
      <c r="D799" s="38"/>
      <c r="E799" s="39"/>
      <c r="F799" s="39" t="s">
        <v>980</v>
      </c>
      <c r="G799" s="44">
        <v>0.5</v>
      </c>
      <c r="H799" s="39" t="s">
        <v>101</v>
      </c>
      <c r="I799" s="39" t="s">
        <v>102</v>
      </c>
      <c r="J799" s="41">
        <v>2500</v>
      </c>
      <c r="K799" s="42">
        <v>23.9</v>
      </c>
      <c r="L799" s="43"/>
      <c r="M799" s="43">
        <f>L799*K799</f>
        <v>0</v>
      </c>
      <c r="N799" s="35">
        <v>4607116269978</v>
      </c>
    </row>
    <row r="800" spans="1:14" ht="24" customHeight="1" outlineLevel="3" x14ac:dyDescent="0.2">
      <c r="A800" s="45">
        <v>16824</v>
      </c>
      <c r="B800" s="37" t="str">
        <f>HYPERLINK("http://sedek.ru/upload/iblock/93d/luk_molodets_na_zelen_batun.jpg","фото")</f>
        <v>фото</v>
      </c>
      <c r="C800" s="38"/>
      <c r="D800" s="38"/>
      <c r="E800" s="39"/>
      <c r="F800" s="39" t="s">
        <v>981</v>
      </c>
      <c r="G800" s="40">
        <v>1</v>
      </c>
      <c r="H800" s="39" t="s">
        <v>101</v>
      </c>
      <c r="I800" s="39" t="s">
        <v>102</v>
      </c>
      <c r="J800" s="41">
        <v>2000</v>
      </c>
      <c r="K800" s="42">
        <v>21.9</v>
      </c>
      <c r="L800" s="43"/>
      <c r="M800" s="43">
        <f>L800*K800</f>
        <v>0</v>
      </c>
      <c r="N800" s="35">
        <v>4690368014366</v>
      </c>
    </row>
    <row r="801" spans="1:14" ht="24" customHeight="1" outlineLevel="3" x14ac:dyDescent="0.2">
      <c r="A801" s="36" t="s">
        <v>982</v>
      </c>
      <c r="B801" s="37" t="str">
        <f>HYPERLINK("http://sedek.ru/upload/iblock/30d/luk_myachkovskiy_300_repchatyy.jpg","фото")</f>
        <v>фото</v>
      </c>
      <c r="C801" s="38"/>
      <c r="D801" s="38"/>
      <c r="E801" s="39"/>
      <c r="F801" s="39" t="s">
        <v>983</v>
      </c>
      <c r="G801" s="40">
        <v>2</v>
      </c>
      <c r="H801" s="39" t="s">
        <v>101</v>
      </c>
      <c r="I801" s="39" t="s">
        <v>102</v>
      </c>
      <c r="J801" s="41">
        <v>2000</v>
      </c>
      <c r="K801" s="42">
        <v>20.5</v>
      </c>
      <c r="L801" s="43"/>
      <c r="M801" s="43">
        <f>L801*K801</f>
        <v>0</v>
      </c>
      <c r="N801" s="35">
        <v>4690368028684</v>
      </c>
    </row>
    <row r="802" spans="1:14" ht="24" customHeight="1" outlineLevel="3" x14ac:dyDescent="0.2">
      <c r="A802" s="36" t="s">
        <v>984</v>
      </c>
      <c r="B802" s="37" t="str">
        <f>HYPERLINK("http://www.sedek.ru/upload/iblock/59d/luk_na_pero_i_repku_repchatyy.jpg","Фото")</f>
        <v>Фото</v>
      </c>
      <c r="C802" s="38"/>
      <c r="D802" s="38"/>
      <c r="E802" s="39"/>
      <c r="F802" s="39" t="s">
        <v>985</v>
      </c>
      <c r="G802" s="40">
        <v>1</v>
      </c>
      <c r="H802" s="39" t="s">
        <v>101</v>
      </c>
      <c r="I802" s="39" t="s">
        <v>102</v>
      </c>
      <c r="J802" s="41">
        <v>2000</v>
      </c>
      <c r="K802" s="42">
        <v>20</v>
      </c>
      <c r="L802" s="43"/>
      <c r="M802" s="43">
        <f>L802*K802</f>
        <v>0</v>
      </c>
      <c r="N802" s="35">
        <v>4690368030342</v>
      </c>
    </row>
    <row r="803" spans="1:14" ht="24" customHeight="1" outlineLevel="3" x14ac:dyDescent="0.2">
      <c r="A803" s="45">
        <v>16326</v>
      </c>
      <c r="B803" s="37" t="str">
        <f>HYPERLINK("http://sedek.ru/upload/iblock/861/luk_nezhnost.jpg","фото")</f>
        <v>фото</v>
      </c>
      <c r="C803" s="38"/>
      <c r="D803" s="38"/>
      <c r="E803" s="39"/>
      <c r="F803" s="39" t="s">
        <v>986</v>
      </c>
      <c r="G803" s="40">
        <v>1</v>
      </c>
      <c r="H803" s="39" t="s">
        <v>101</v>
      </c>
      <c r="I803" s="39" t="s">
        <v>102</v>
      </c>
      <c r="J803" s="41">
        <v>2000</v>
      </c>
      <c r="K803" s="42">
        <v>25.3</v>
      </c>
      <c r="L803" s="43"/>
      <c r="M803" s="43">
        <f>L803*K803</f>
        <v>0</v>
      </c>
      <c r="N803" s="35">
        <v>4607149400867</v>
      </c>
    </row>
    <row r="804" spans="1:14" ht="24" customHeight="1" outlineLevel="3" x14ac:dyDescent="0.2">
      <c r="A804" s="45">
        <v>16326</v>
      </c>
      <c r="B804" s="37" t="str">
        <f>HYPERLINK("http://sedek.ru/upload/iblock/861/luk_nezhnost.jpg","фото")</f>
        <v>фото</v>
      </c>
      <c r="C804" s="38"/>
      <c r="D804" s="38"/>
      <c r="E804" s="39"/>
      <c r="F804" s="39" t="s">
        <v>987</v>
      </c>
      <c r="G804" s="40">
        <v>1</v>
      </c>
      <c r="H804" s="39" t="s">
        <v>101</v>
      </c>
      <c r="I804" s="39" t="s">
        <v>287</v>
      </c>
      <c r="J804" s="41">
        <v>2000</v>
      </c>
      <c r="K804" s="42">
        <v>9.6</v>
      </c>
      <c r="L804" s="43"/>
      <c r="M804" s="43">
        <f>L804*K804</f>
        <v>0</v>
      </c>
      <c r="N804" s="35">
        <v>4607149408351</v>
      </c>
    </row>
    <row r="805" spans="1:14" ht="24" customHeight="1" outlineLevel="3" x14ac:dyDescent="0.2">
      <c r="A805" s="45">
        <v>16560</v>
      </c>
      <c r="B805" s="37" t="str">
        <f>HYPERLINK("http://www.sedek.ru/upload/iblock/f1f/luk_oval.jpg","фото")</f>
        <v>фото</v>
      </c>
      <c r="C805" s="38"/>
      <c r="D805" s="38"/>
      <c r="E805" s="39"/>
      <c r="F805" s="39" t="s">
        <v>988</v>
      </c>
      <c r="G805" s="44">
        <v>0.5</v>
      </c>
      <c r="H805" s="39" t="s">
        <v>101</v>
      </c>
      <c r="I805" s="39" t="s">
        <v>102</v>
      </c>
      <c r="J805" s="41">
        <v>2500</v>
      </c>
      <c r="K805" s="42">
        <v>20.5</v>
      </c>
      <c r="L805" s="43"/>
      <c r="M805" s="43">
        <f>L805*K805</f>
        <v>0</v>
      </c>
      <c r="N805" s="35">
        <v>4607015187335</v>
      </c>
    </row>
    <row r="806" spans="1:14" ht="24" customHeight="1" outlineLevel="3" x14ac:dyDescent="0.2">
      <c r="A806" s="45">
        <v>16457</v>
      </c>
      <c r="B806" s="37" t="str">
        <f>HYPERLINK("http://sedek.ru/upload/iblock/af8/luk_oporto.jpg","фото")</f>
        <v>фото</v>
      </c>
      <c r="C806" s="38"/>
      <c r="D806" s="38"/>
      <c r="E806" s="39"/>
      <c r="F806" s="39" t="s">
        <v>989</v>
      </c>
      <c r="G806" s="40">
        <v>1</v>
      </c>
      <c r="H806" s="39" t="s">
        <v>101</v>
      </c>
      <c r="I806" s="39" t="s">
        <v>102</v>
      </c>
      <c r="J806" s="41">
        <v>2000</v>
      </c>
      <c r="K806" s="42">
        <v>20.5</v>
      </c>
      <c r="L806" s="43"/>
      <c r="M806" s="43">
        <f>L806*K806</f>
        <v>0</v>
      </c>
      <c r="N806" s="35">
        <v>4607015187342</v>
      </c>
    </row>
    <row r="807" spans="1:14" ht="24" customHeight="1" outlineLevel="3" x14ac:dyDescent="0.2">
      <c r="A807" s="45">
        <v>16457</v>
      </c>
      <c r="B807" s="37" t="str">
        <f>HYPERLINK("http://sedek.ru/upload/iblock/af8/luk_oporto.jpg","фото")</f>
        <v>фото</v>
      </c>
      <c r="C807" s="38"/>
      <c r="D807" s="38"/>
      <c r="E807" s="39"/>
      <c r="F807" s="39" t="s">
        <v>990</v>
      </c>
      <c r="G807" s="40">
        <v>1</v>
      </c>
      <c r="H807" s="39" t="s">
        <v>101</v>
      </c>
      <c r="I807" s="39" t="s">
        <v>287</v>
      </c>
      <c r="J807" s="41">
        <v>2000</v>
      </c>
      <c r="K807" s="42">
        <v>10.1</v>
      </c>
      <c r="L807" s="43"/>
      <c r="M807" s="43">
        <f>L807*K807</f>
        <v>0</v>
      </c>
      <c r="N807" s="35">
        <v>4690368006200</v>
      </c>
    </row>
    <row r="808" spans="1:14" ht="24" customHeight="1" outlineLevel="3" x14ac:dyDescent="0.2">
      <c r="A808" s="45">
        <v>15395</v>
      </c>
      <c r="B808" s="37" t="str">
        <f>HYPERLINK("http://sedek.ru/upload/iblock/a7c/luk_osenniy_gigant.jpg","фото")</f>
        <v>фото</v>
      </c>
      <c r="C808" s="38"/>
      <c r="D808" s="38"/>
      <c r="E808" s="39"/>
      <c r="F808" s="39" t="s">
        <v>991</v>
      </c>
      <c r="G808" s="40">
        <v>1</v>
      </c>
      <c r="H808" s="39" t="s">
        <v>101</v>
      </c>
      <c r="I808" s="39" t="s">
        <v>102</v>
      </c>
      <c r="J808" s="41">
        <v>2000</v>
      </c>
      <c r="K808" s="42">
        <v>20.5</v>
      </c>
      <c r="L808" s="43"/>
      <c r="M808" s="43">
        <f>L808*K808</f>
        <v>0</v>
      </c>
      <c r="N808" s="35">
        <v>4607015187373</v>
      </c>
    </row>
    <row r="809" spans="1:14" ht="24" customHeight="1" outlineLevel="3" x14ac:dyDescent="0.2">
      <c r="A809" s="45">
        <v>15395</v>
      </c>
      <c r="B809" s="37" t="str">
        <f>HYPERLINK("http://sedek.ru/upload/iblock/a7c/luk_osenniy_gigant.jpg","фото")</f>
        <v>фото</v>
      </c>
      <c r="C809" s="38"/>
      <c r="D809" s="38"/>
      <c r="E809" s="39"/>
      <c r="F809" s="39" t="s">
        <v>992</v>
      </c>
      <c r="G809" s="40">
        <v>1</v>
      </c>
      <c r="H809" s="39" t="s">
        <v>101</v>
      </c>
      <c r="I809" s="39" t="s">
        <v>287</v>
      </c>
      <c r="J809" s="41">
        <v>2000</v>
      </c>
      <c r="K809" s="42">
        <v>10.3</v>
      </c>
      <c r="L809" s="43"/>
      <c r="M809" s="43">
        <f>L809*K809</f>
        <v>0</v>
      </c>
      <c r="N809" s="35">
        <v>4607149408900</v>
      </c>
    </row>
    <row r="810" spans="1:14" ht="24" customHeight="1" outlineLevel="3" x14ac:dyDescent="0.2">
      <c r="A810" s="36" t="s">
        <v>993</v>
      </c>
      <c r="B810" s="37" t="str">
        <f>HYPERLINK("http://sedek.ru/upload/iblock/815/luk_osenniy_krasavets_porey.jpg","фото")</f>
        <v>фото</v>
      </c>
      <c r="C810" s="38"/>
      <c r="D810" s="38"/>
      <c r="E810" s="39"/>
      <c r="F810" s="39" t="s">
        <v>994</v>
      </c>
      <c r="G810" s="40">
        <v>1</v>
      </c>
      <c r="H810" s="39" t="s">
        <v>101</v>
      </c>
      <c r="I810" s="39" t="s">
        <v>102</v>
      </c>
      <c r="J810" s="41">
        <v>2000</v>
      </c>
      <c r="K810" s="42">
        <v>22.3</v>
      </c>
      <c r="L810" s="43"/>
      <c r="M810" s="43">
        <f>L810*K810</f>
        <v>0</v>
      </c>
      <c r="N810" s="35">
        <v>4690368035491</v>
      </c>
    </row>
    <row r="811" spans="1:14" ht="36" customHeight="1" outlineLevel="3" x14ac:dyDescent="0.2">
      <c r="A811" s="45">
        <v>16394</v>
      </c>
      <c r="B811" s="37" t="str">
        <f>HYPERLINK("http://sedek.ru/upload/iblock/e44/luk_pikantnyy.jpg","фото")</f>
        <v>фото</v>
      </c>
      <c r="C811" s="38"/>
      <c r="D811" s="38" t="s">
        <v>266</v>
      </c>
      <c r="E811" s="39"/>
      <c r="F811" s="39" t="s">
        <v>995</v>
      </c>
      <c r="G811" s="44">
        <v>0.5</v>
      </c>
      <c r="H811" s="39" t="s">
        <v>101</v>
      </c>
      <c r="I811" s="39" t="s">
        <v>102</v>
      </c>
      <c r="J811" s="41">
        <v>2500</v>
      </c>
      <c r="K811" s="42">
        <v>20.5</v>
      </c>
      <c r="L811" s="43"/>
      <c r="M811" s="43">
        <f>L811*K811</f>
        <v>0</v>
      </c>
      <c r="N811" s="35">
        <v>4690368008846</v>
      </c>
    </row>
    <row r="812" spans="1:14" ht="24" customHeight="1" outlineLevel="3" x14ac:dyDescent="0.2">
      <c r="A812" s="45">
        <v>15860</v>
      </c>
      <c r="B812" s="37" t="str">
        <f>HYPERLINK("http://sedek.ru/upload/iblock/088/luk_ranniy.jpg","фото")</f>
        <v>фото</v>
      </c>
      <c r="C812" s="38"/>
      <c r="D812" s="38"/>
      <c r="E812" s="39"/>
      <c r="F812" s="39" t="s">
        <v>996</v>
      </c>
      <c r="G812" s="40">
        <v>1</v>
      </c>
      <c r="H812" s="39" t="s">
        <v>101</v>
      </c>
      <c r="I812" s="39" t="s">
        <v>102</v>
      </c>
      <c r="J812" s="41">
        <v>2000</v>
      </c>
      <c r="K812" s="42">
        <v>23.9</v>
      </c>
      <c r="L812" s="43"/>
      <c r="M812" s="43">
        <f>L812*K812</f>
        <v>0</v>
      </c>
      <c r="N812" s="35">
        <v>4607015187380</v>
      </c>
    </row>
    <row r="813" spans="1:14" ht="24" customHeight="1" outlineLevel="3" x14ac:dyDescent="0.2">
      <c r="A813" s="36" t="s">
        <v>997</v>
      </c>
      <c r="B813" s="37" t="str">
        <f>HYPERLINK("http://www.sedek.ru/upload/iblock/d9c/luk_rannyaya_trapeza_batun.jpg","фото")</f>
        <v>фото</v>
      </c>
      <c r="C813" s="38"/>
      <c r="D813" s="38"/>
      <c r="E813" s="39"/>
      <c r="F813" s="39" t="s">
        <v>998</v>
      </c>
      <c r="G813" s="40">
        <v>1</v>
      </c>
      <c r="H813" s="39" t="s">
        <v>101</v>
      </c>
      <c r="I813" s="39" t="s">
        <v>102</v>
      </c>
      <c r="J813" s="41">
        <v>2000</v>
      </c>
      <c r="K813" s="42">
        <v>25.3</v>
      </c>
      <c r="L813" s="43"/>
      <c r="M813" s="43">
        <f>L813*K813</f>
        <v>0</v>
      </c>
      <c r="N813" s="35">
        <v>4690368034333</v>
      </c>
    </row>
    <row r="814" spans="1:14" ht="36" customHeight="1" outlineLevel="3" x14ac:dyDescent="0.2">
      <c r="A814" s="36" t="s">
        <v>999</v>
      </c>
      <c r="B814" s="37" t="str">
        <f>HYPERLINK("http://sedek.ru/upload/iblock/3da/luk_red_yakut.jpg","фото")</f>
        <v>фото</v>
      </c>
      <c r="C814" s="38"/>
      <c r="D814" s="38"/>
      <c r="E814" s="39"/>
      <c r="F814" s="39" t="s">
        <v>1000</v>
      </c>
      <c r="G814" s="44">
        <v>0.5</v>
      </c>
      <c r="H814" s="39" t="s">
        <v>101</v>
      </c>
      <c r="I814" s="39" t="s">
        <v>102</v>
      </c>
      <c r="J814" s="41">
        <v>2500</v>
      </c>
      <c r="K814" s="42">
        <v>30.9</v>
      </c>
      <c r="L814" s="43"/>
      <c r="M814" s="43">
        <f>L814*K814</f>
        <v>0</v>
      </c>
      <c r="N814" s="35">
        <v>4690368026338</v>
      </c>
    </row>
    <row r="815" spans="1:14" ht="36" customHeight="1" outlineLevel="3" x14ac:dyDescent="0.2">
      <c r="A815" s="45">
        <v>16324</v>
      </c>
      <c r="B815" s="37" t="str">
        <f>HYPERLINK("http://sedek.ru/upload/iblock/f43/luk_rynochnyy.jpg","фото")</f>
        <v>фото</v>
      </c>
      <c r="C815" s="38"/>
      <c r="D815" s="38"/>
      <c r="E815" s="39"/>
      <c r="F815" s="39" t="s">
        <v>1001</v>
      </c>
      <c r="G815" s="40">
        <v>1</v>
      </c>
      <c r="H815" s="39" t="s">
        <v>101</v>
      </c>
      <c r="I815" s="39" t="s">
        <v>102</v>
      </c>
      <c r="J815" s="41">
        <v>2000</v>
      </c>
      <c r="K815" s="42">
        <v>23.9</v>
      </c>
      <c r="L815" s="43"/>
      <c r="M815" s="43">
        <f>L815*K815</f>
        <v>0</v>
      </c>
      <c r="N815" s="35">
        <v>4690368005784</v>
      </c>
    </row>
    <row r="816" spans="1:14" ht="36" customHeight="1" outlineLevel="3" x14ac:dyDescent="0.2">
      <c r="A816" s="45">
        <v>14370</v>
      </c>
      <c r="B816" s="37" t="str">
        <f>HYPERLINK("http://sedek.ru/upload/iblock/8fb/luk_salatnyy.jpg","фото")</f>
        <v>фото</v>
      </c>
      <c r="C816" s="38"/>
      <c r="D816" s="38"/>
      <c r="E816" s="39"/>
      <c r="F816" s="39" t="s">
        <v>1002</v>
      </c>
      <c r="G816" s="40">
        <v>1</v>
      </c>
      <c r="H816" s="39" t="s">
        <v>101</v>
      </c>
      <c r="I816" s="39" t="s">
        <v>102</v>
      </c>
      <c r="J816" s="41">
        <v>2000</v>
      </c>
      <c r="K816" s="42">
        <v>23.9</v>
      </c>
      <c r="L816" s="43"/>
      <c r="M816" s="43">
        <f>L816*K816</f>
        <v>0</v>
      </c>
      <c r="N816" s="35">
        <v>4690368005791</v>
      </c>
    </row>
    <row r="817" spans="1:14" ht="24" customHeight="1" outlineLevel="3" x14ac:dyDescent="0.2">
      <c r="A817" s="36" t="s">
        <v>1003</v>
      </c>
      <c r="B817" s="37" t="str">
        <f>HYPERLINK("http://sedek.ru/upload/iblock/fd8/luk_senator.jpg","фото")</f>
        <v>фото</v>
      </c>
      <c r="C817" s="38"/>
      <c r="D817" s="38" t="s">
        <v>266</v>
      </c>
      <c r="E817" s="39"/>
      <c r="F817" s="39" t="s">
        <v>1004</v>
      </c>
      <c r="G817" s="40">
        <v>1</v>
      </c>
      <c r="H817" s="39" t="s">
        <v>101</v>
      </c>
      <c r="I817" s="39" t="s">
        <v>102</v>
      </c>
      <c r="J817" s="41">
        <v>2000</v>
      </c>
      <c r="K817" s="42">
        <v>20</v>
      </c>
      <c r="L817" s="43"/>
      <c r="M817" s="43">
        <f>L817*K817</f>
        <v>0</v>
      </c>
      <c r="N817" s="35">
        <v>4607015185034</v>
      </c>
    </row>
    <row r="818" spans="1:14" ht="24" customHeight="1" outlineLevel="3" x14ac:dyDescent="0.2">
      <c r="A818" s="45">
        <v>16484</v>
      </c>
      <c r="B818" s="37" t="str">
        <f>HYPERLINK("http://sedek.ru/upload/iblock/da6/luk_serezha_f1.jpg","фото")</f>
        <v>фото</v>
      </c>
      <c r="C818" s="38"/>
      <c r="D818" s="38"/>
      <c r="E818" s="39"/>
      <c r="F818" s="39" t="s">
        <v>1005</v>
      </c>
      <c r="G818" s="44">
        <v>0.3</v>
      </c>
      <c r="H818" s="39" t="s">
        <v>101</v>
      </c>
      <c r="I818" s="39" t="s">
        <v>102</v>
      </c>
      <c r="J818" s="41">
        <v>2500</v>
      </c>
      <c r="K818" s="42">
        <v>27.7</v>
      </c>
      <c r="L818" s="43"/>
      <c r="M818" s="43">
        <f>L818*K818</f>
        <v>0</v>
      </c>
      <c r="N818" s="35">
        <v>4607149404650</v>
      </c>
    </row>
    <row r="819" spans="1:14" ht="24" customHeight="1" outlineLevel="3" x14ac:dyDescent="0.2">
      <c r="A819" s="36" t="s">
        <v>1006</v>
      </c>
      <c r="B819" s="37" t="str">
        <f>HYPERLINK("http://sedek.ru/upload/iblock/356/luk_sima.jpg","фото")</f>
        <v>фото</v>
      </c>
      <c r="C819" s="38"/>
      <c r="D819" s="38" t="s">
        <v>266</v>
      </c>
      <c r="E819" s="39"/>
      <c r="F819" s="39" t="s">
        <v>1007</v>
      </c>
      <c r="G819" s="44">
        <v>0.5</v>
      </c>
      <c r="H819" s="39" t="s">
        <v>101</v>
      </c>
      <c r="I819" s="39" t="s">
        <v>102</v>
      </c>
      <c r="J819" s="41">
        <v>2500</v>
      </c>
      <c r="K819" s="42">
        <v>30.9</v>
      </c>
      <c r="L819" s="43"/>
      <c r="M819" s="43">
        <f>L819*K819</f>
        <v>0</v>
      </c>
      <c r="N819" s="35">
        <v>4690368026345</v>
      </c>
    </row>
    <row r="820" spans="1:14" ht="36" customHeight="1" outlineLevel="3" x14ac:dyDescent="0.2">
      <c r="A820" s="45">
        <v>15236</v>
      </c>
      <c r="B820" s="37" t="str">
        <f>HYPERLINK("http://sedek.ru/upload/iblock/87d/luk_skorospelka.jpg","фото")</f>
        <v>фото</v>
      </c>
      <c r="C820" s="38"/>
      <c r="D820" s="38"/>
      <c r="E820" s="39"/>
      <c r="F820" s="39" t="s">
        <v>1008</v>
      </c>
      <c r="G820" s="44">
        <v>0.3</v>
      </c>
      <c r="H820" s="39" t="s">
        <v>101</v>
      </c>
      <c r="I820" s="39" t="s">
        <v>102</v>
      </c>
      <c r="J820" s="41">
        <v>2500</v>
      </c>
      <c r="K820" s="42">
        <v>20</v>
      </c>
      <c r="L820" s="43"/>
      <c r="M820" s="43">
        <f>L820*K820</f>
        <v>0</v>
      </c>
      <c r="N820" s="35">
        <v>4690368009430</v>
      </c>
    </row>
    <row r="821" spans="1:14" ht="24" customHeight="1" outlineLevel="3" x14ac:dyDescent="0.2">
      <c r="A821" s="45">
        <v>14601</v>
      </c>
      <c r="B821" s="37" t="str">
        <f>HYPERLINK("http://sedek.ru/upload/iblock/fef/luk_sonet.jpg","фото")</f>
        <v>фото</v>
      </c>
      <c r="C821" s="38"/>
      <c r="D821" s="38"/>
      <c r="E821" s="39"/>
      <c r="F821" s="39" t="s">
        <v>1009</v>
      </c>
      <c r="G821" s="44">
        <v>0.5</v>
      </c>
      <c r="H821" s="39" t="s">
        <v>101</v>
      </c>
      <c r="I821" s="39" t="s">
        <v>102</v>
      </c>
      <c r="J821" s="41">
        <v>2500</v>
      </c>
      <c r="K821" s="42">
        <v>23.9</v>
      </c>
      <c r="L821" s="43"/>
      <c r="M821" s="43">
        <f>L821*K821</f>
        <v>0</v>
      </c>
      <c r="N821" s="35">
        <v>4607015187403</v>
      </c>
    </row>
    <row r="822" spans="1:14" ht="24" customHeight="1" outlineLevel="3" x14ac:dyDescent="0.2">
      <c r="A822" s="45">
        <v>14601</v>
      </c>
      <c r="B822" s="37" t="str">
        <f>HYPERLINK("http://sedek.ru/upload/iblock/fef/luk_sonet.jpg","фото")</f>
        <v>фото</v>
      </c>
      <c r="C822" s="38"/>
      <c r="D822" s="38"/>
      <c r="E822" s="39"/>
      <c r="F822" s="39" t="s">
        <v>1010</v>
      </c>
      <c r="G822" s="44">
        <v>0.5</v>
      </c>
      <c r="H822" s="39" t="s">
        <v>101</v>
      </c>
      <c r="I822" s="39" t="s">
        <v>287</v>
      </c>
      <c r="J822" s="41">
        <v>2500</v>
      </c>
      <c r="K822" s="42">
        <v>11.2</v>
      </c>
      <c r="L822" s="43"/>
      <c r="M822" s="43">
        <f>L822*K822</f>
        <v>0</v>
      </c>
      <c r="N822" s="35">
        <v>4607149408917</v>
      </c>
    </row>
    <row r="823" spans="1:14" ht="36" customHeight="1" outlineLevel="3" x14ac:dyDescent="0.2">
      <c r="A823" s="45">
        <v>14776</v>
      </c>
      <c r="B823" s="37" t="str">
        <f>HYPERLINK("http://www.sedek.ru/upload/iblock/2f3/luk_supra.jpg","фото")</f>
        <v>фото</v>
      </c>
      <c r="C823" s="38"/>
      <c r="D823" s="38"/>
      <c r="E823" s="39"/>
      <c r="F823" s="39" t="s">
        <v>1011</v>
      </c>
      <c r="G823" s="44">
        <v>0.5</v>
      </c>
      <c r="H823" s="39" t="s">
        <v>101</v>
      </c>
      <c r="I823" s="39" t="s">
        <v>102</v>
      </c>
      <c r="J823" s="41">
        <v>2500</v>
      </c>
      <c r="K823" s="42">
        <v>20</v>
      </c>
      <c r="L823" s="43"/>
      <c r="M823" s="43">
        <f>L823*K823</f>
        <v>0</v>
      </c>
      <c r="N823" s="35">
        <v>4607015187410</v>
      </c>
    </row>
    <row r="824" spans="1:14" ht="36" customHeight="1" outlineLevel="3" x14ac:dyDescent="0.2">
      <c r="A824" s="36" t="s">
        <v>1012</v>
      </c>
      <c r="B824" s="37" t="str">
        <f>HYPERLINK("http://sedek.ru/upload/iblock/467/luk_fermer.jpg","фото")</f>
        <v>фото</v>
      </c>
      <c r="C824" s="38"/>
      <c r="D824" s="38" t="s">
        <v>266</v>
      </c>
      <c r="E824" s="39"/>
      <c r="F824" s="39" t="s">
        <v>1013</v>
      </c>
      <c r="G824" s="40">
        <v>1</v>
      </c>
      <c r="H824" s="39" t="s">
        <v>101</v>
      </c>
      <c r="I824" s="39" t="s">
        <v>102</v>
      </c>
      <c r="J824" s="41">
        <v>2000</v>
      </c>
      <c r="K824" s="42">
        <v>20</v>
      </c>
      <c r="L824" s="43"/>
      <c r="M824" s="43">
        <f>L824*K824</f>
        <v>0</v>
      </c>
      <c r="N824" s="35">
        <v>4607015187434</v>
      </c>
    </row>
    <row r="825" spans="1:14" ht="36" customHeight="1" outlineLevel="3" x14ac:dyDescent="0.2">
      <c r="A825" s="45">
        <v>14853</v>
      </c>
      <c r="B825" s="37" t="str">
        <f>HYPERLINK("http://sedek.ru/upload/iblock/78a/luk_fermer_pozdniy.jpg","фото")</f>
        <v>фото</v>
      </c>
      <c r="C825" s="38"/>
      <c r="D825" s="38"/>
      <c r="E825" s="39"/>
      <c r="F825" s="39" t="s">
        <v>1014</v>
      </c>
      <c r="G825" s="44">
        <v>0.5</v>
      </c>
      <c r="H825" s="39" t="s">
        <v>101</v>
      </c>
      <c r="I825" s="39" t="s">
        <v>102</v>
      </c>
      <c r="J825" s="41">
        <v>2500</v>
      </c>
      <c r="K825" s="42">
        <v>20</v>
      </c>
      <c r="L825" s="43"/>
      <c r="M825" s="43">
        <f>L825*K825</f>
        <v>0</v>
      </c>
      <c r="N825" s="35">
        <v>4607116267332</v>
      </c>
    </row>
    <row r="826" spans="1:14" ht="36" customHeight="1" outlineLevel="3" x14ac:dyDescent="0.2">
      <c r="A826" s="45">
        <v>15495</v>
      </c>
      <c r="B826" s="37" t="str">
        <f>HYPERLINK("http://www.sedek.ru/upload/iblock/223/luk_fermer_ranniy.jpg","фото")</f>
        <v>фото</v>
      </c>
      <c r="C826" s="38"/>
      <c r="D826" s="38"/>
      <c r="E826" s="39"/>
      <c r="F826" s="39" t="s">
        <v>1015</v>
      </c>
      <c r="G826" s="44">
        <v>0.5</v>
      </c>
      <c r="H826" s="39" t="s">
        <v>101</v>
      </c>
      <c r="I826" s="39" t="s">
        <v>102</v>
      </c>
      <c r="J826" s="41">
        <v>2500</v>
      </c>
      <c r="K826" s="42">
        <v>20</v>
      </c>
      <c r="L826" s="43"/>
      <c r="M826" s="43">
        <f>L826*K826</f>
        <v>0</v>
      </c>
      <c r="N826" s="35">
        <v>4607116267349</v>
      </c>
    </row>
    <row r="827" spans="1:14" ht="36" customHeight="1" outlineLevel="3" x14ac:dyDescent="0.2">
      <c r="A827" s="45">
        <v>13969</v>
      </c>
      <c r="B827" s="37" t="str">
        <f>HYPERLINK("http://www.sedek.ru/upload/iblock/e67/luk_repchatyy_khaltsedon.jpg","фото")</f>
        <v>фото</v>
      </c>
      <c r="C827" s="38"/>
      <c r="D827" s="38"/>
      <c r="E827" s="39"/>
      <c r="F827" s="39" t="s">
        <v>1016</v>
      </c>
      <c r="G827" s="44">
        <v>0.5</v>
      </c>
      <c r="H827" s="39" t="s">
        <v>101</v>
      </c>
      <c r="I827" s="39" t="s">
        <v>102</v>
      </c>
      <c r="J827" s="41">
        <v>2500</v>
      </c>
      <c r="K827" s="42">
        <v>15.6</v>
      </c>
      <c r="L827" s="43"/>
      <c r="M827" s="43">
        <f>L827*K827</f>
        <v>0</v>
      </c>
      <c r="N827" s="35">
        <v>4607015187441</v>
      </c>
    </row>
    <row r="828" spans="1:14" ht="24" customHeight="1" outlineLevel="3" x14ac:dyDescent="0.2">
      <c r="A828" s="45">
        <v>14637</v>
      </c>
      <c r="B828" s="37" t="str">
        <f>HYPERLINK("http://sedek.ru/upload/iblock/9d2/luk_delikates_cheremsha.jpg","фото")</f>
        <v>фото</v>
      </c>
      <c r="C828" s="38"/>
      <c r="D828" s="38"/>
      <c r="E828" s="39"/>
      <c r="F828" s="39" t="s">
        <v>1017</v>
      </c>
      <c r="G828" s="44">
        <v>0.2</v>
      </c>
      <c r="H828" s="39" t="s">
        <v>101</v>
      </c>
      <c r="I828" s="39" t="s">
        <v>102</v>
      </c>
      <c r="J828" s="41">
        <v>2500</v>
      </c>
      <c r="K828" s="42">
        <v>44.5</v>
      </c>
      <c r="L828" s="43"/>
      <c r="M828" s="43">
        <f>L828*K828</f>
        <v>0</v>
      </c>
      <c r="N828" s="35">
        <v>4690368005777</v>
      </c>
    </row>
    <row r="829" spans="1:14" ht="36" customHeight="1" outlineLevel="3" x14ac:dyDescent="0.2">
      <c r="A829" s="45">
        <v>15074</v>
      </c>
      <c r="B829" s="37" t="str">
        <f>HYPERLINK("http://sedek.ru/upload/iblock/b86/luk_shaman.jpg","фото")</f>
        <v>фото</v>
      </c>
      <c r="C829" s="38"/>
      <c r="D829" s="38"/>
      <c r="E829" s="39"/>
      <c r="F829" s="39" t="s">
        <v>1018</v>
      </c>
      <c r="G829" s="40">
        <v>1</v>
      </c>
      <c r="H829" s="39" t="s">
        <v>101</v>
      </c>
      <c r="I829" s="39" t="s">
        <v>102</v>
      </c>
      <c r="J829" s="41">
        <v>2000</v>
      </c>
      <c r="K829" s="42">
        <v>31.5</v>
      </c>
      <c r="L829" s="43"/>
      <c r="M829" s="43">
        <f>L829*K829</f>
        <v>0</v>
      </c>
      <c r="N829" s="35">
        <v>4607015187465</v>
      </c>
    </row>
    <row r="830" spans="1:14" ht="36" customHeight="1" outlineLevel="3" x14ac:dyDescent="0.2">
      <c r="A830" s="45">
        <v>13859</v>
      </c>
      <c r="B830" s="37" t="str">
        <f>HYPERLINK("http://sedek.ru/upload/iblock/13e/luk_shtuttgarter_rizen.jpg","фото")</f>
        <v>фото</v>
      </c>
      <c r="C830" s="38"/>
      <c r="D830" s="38"/>
      <c r="E830" s="39"/>
      <c r="F830" s="39" t="s">
        <v>1019</v>
      </c>
      <c r="G830" s="40">
        <v>1</v>
      </c>
      <c r="H830" s="39" t="s">
        <v>101</v>
      </c>
      <c r="I830" s="39" t="s">
        <v>102</v>
      </c>
      <c r="J830" s="41">
        <v>2000</v>
      </c>
      <c r="K830" s="42">
        <v>16.899999999999999</v>
      </c>
      <c r="L830" s="43"/>
      <c r="M830" s="43">
        <f>L830*K830</f>
        <v>0</v>
      </c>
      <c r="N830" s="35">
        <v>4607015187472</v>
      </c>
    </row>
    <row r="831" spans="1:14" ht="36" customHeight="1" outlineLevel="3" x14ac:dyDescent="0.2">
      <c r="A831" s="45">
        <v>13859</v>
      </c>
      <c r="B831" s="37" t="str">
        <f>HYPERLINK("http://sedek.ru/upload/iblock/13e/luk_shtuttgarter_rizen.jpg","фото")</f>
        <v>фото</v>
      </c>
      <c r="C831" s="38"/>
      <c r="D831" s="38"/>
      <c r="E831" s="39"/>
      <c r="F831" s="39" t="s">
        <v>1020</v>
      </c>
      <c r="G831" s="40">
        <v>1</v>
      </c>
      <c r="H831" s="39" t="s">
        <v>101</v>
      </c>
      <c r="I831" s="39" t="s">
        <v>287</v>
      </c>
      <c r="J831" s="41">
        <v>2000</v>
      </c>
      <c r="K831" s="42">
        <v>8.5</v>
      </c>
      <c r="L831" s="43"/>
      <c r="M831" s="43">
        <f>L831*K831</f>
        <v>0</v>
      </c>
      <c r="N831" s="35">
        <v>4607149409716</v>
      </c>
    </row>
    <row r="832" spans="1:14" ht="24" customHeight="1" outlineLevel="3" x14ac:dyDescent="0.2">
      <c r="A832" s="45">
        <v>16373</v>
      </c>
      <c r="B832" s="37" t="str">
        <f>HYPERLINK("http://sedek.ru/upload/iblock/08c/luk_elefant.jpg","фото")</f>
        <v>фото</v>
      </c>
      <c r="C832" s="38"/>
      <c r="D832" s="38"/>
      <c r="E832" s="39"/>
      <c r="F832" s="39" t="s">
        <v>1021</v>
      </c>
      <c r="G832" s="40">
        <v>1</v>
      </c>
      <c r="H832" s="39" t="s">
        <v>101</v>
      </c>
      <c r="I832" s="39" t="s">
        <v>102</v>
      </c>
      <c r="J832" s="41">
        <v>2000</v>
      </c>
      <c r="K832" s="42">
        <v>30</v>
      </c>
      <c r="L832" s="43"/>
      <c r="M832" s="43">
        <f>L832*K832</f>
        <v>0</v>
      </c>
      <c r="N832" s="35">
        <v>4607149404667</v>
      </c>
    </row>
    <row r="833" spans="1:14" ht="24" customHeight="1" outlineLevel="3" x14ac:dyDescent="0.2">
      <c r="A833" s="45">
        <v>16373</v>
      </c>
      <c r="B833" s="37" t="str">
        <f>HYPERLINK("http://sedek.ru/upload/iblock/08c/luk_elefant.jpg","фото")</f>
        <v>фото</v>
      </c>
      <c r="C833" s="38"/>
      <c r="D833" s="38"/>
      <c r="E833" s="39"/>
      <c r="F833" s="39" t="s">
        <v>1022</v>
      </c>
      <c r="G833" s="40">
        <v>1</v>
      </c>
      <c r="H833" s="39" t="s">
        <v>101</v>
      </c>
      <c r="I833" s="39" t="s">
        <v>287</v>
      </c>
      <c r="J833" s="41">
        <v>2000</v>
      </c>
      <c r="K833" s="42">
        <v>14.8</v>
      </c>
      <c r="L833" s="43"/>
      <c r="M833" s="43">
        <f>L833*K833</f>
        <v>0</v>
      </c>
      <c r="N833" s="35">
        <v>4607149407194</v>
      </c>
    </row>
    <row r="834" spans="1:14" ht="36" customHeight="1" outlineLevel="3" x14ac:dyDescent="0.2">
      <c r="A834" s="45">
        <v>13574</v>
      </c>
      <c r="B834" s="37" t="str">
        <f>HYPERLINK("http://sedek.ru/upload/iblock/808/luk_effekt.jpg","фото")</f>
        <v>фото</v>
      </c>
      <c r="C834" s="38"/>
      <c r="D834" s="38"/>
      <c r="E834" s="39"/>
      <c r="F834" s="39" t="s">
        <v>1023</v>
      </c>
      <c r="G834" s="44">
        <v>0.5</v>
      </c>
      <c r="H834" s="39" t="s">
        <v>101</v>
      </c>
      <c r="I834" s="39" t="s">
        <v>102</v>
      </c>
      <c r="J834" s="41">
        <v>2500</v>
      </c>
      <c r="K834" s="42">
        <v>20.5</v>
      </c>
      <c r="L834" s="43"/>
      <c r="M834" s="43">
        <f>L834*K834</f>
        <v>0</v>
      </c>
      <c r="N834" s="35">
        <v>4607015185065</v>
      </c>
    </row>
    <row r="835" spans="1:14" ht="36" customHeight="1" outlineLevel="3" x14ac:dyDescent="0.2">
      <c r="A835" s="45">
        <v>13574</v>
      </c>
      <c r="B835" s="37" t="str">
        <f>HYPERLINK("http://sedek.ru/upload/iblock/808/luk_effekt.jpg","фото")</f>
        <v>фото</v>
      </c>
      <c r="C835" s="38"/>
      <c r="D835" s="38"/>
      <c r="E835" s="39"/>
      <c r="F835" s="39" t="s">
        <v>1024</v>
      </c>
      <c r="G835" s="44">
        <v>0.5</v>
      </c>
      <c r="H835" s="39" t="s">
        <v>101</v>
      </c>
      <c r="I835" s="39" t="s">
        <v>287</v>
      </c>
      <c r="J835" s="41">
        <v>2500</v>
      </c>
      <c r="K835" s="42">
        <v>9.4</v>
      </c>
      <c r="L835" s="43"/>
      <c r="M835" s="43">
        <f>L835*K835</f>
        <v>0</v>
      </c>
      <c r="N835" s="35">
        <v>4690368011136</v>
      </c>
    </row>
    <row r="836" spans="1:14" ht="12" customHeight="1" outlineLevel="2" x14ac:dyDescent="0.2">
      <c r="A836" s="22"/>
      <c r="B836" s="23"/>
      <c r="C836" s="23"/>
      <c r="D836" s="23"/>
      <c r="E836" s="24"/>
      <c r="F836" s="24" t="s">
        <v>1025</v>
      </c>
      <c r="G836" s="24"/>
      <c r="H836" s="24"/>
      <c r="I836" s="24"/>
      <c r="J836" s="24"/>
      <c r="K836" s="24"/>
      <c r="L836" s="24"/>
      <c r="M836" s="24"/>
      <c r="N836" s="25"/>
    </row>
    <row r="837" spans="1:14" ht="24" customHeight="1" outlineLevel="3" x14ac:dyDescent="0.2">
      <c r="A837" s="36" t="s">
        <v>1026</v>
      </c>
      <c r="B837" s="37" t="str">
        <f>HYPERLINK("http://www.sedek.ru/upload/iblock/9a6/lyuffa_moydodyr.jpg","фото")</f>
        <v>фото</v>
      </c>
      <c r="C837" s="38"/>
      <c r="D837" s="38" t="s">
        <v>266</v>
      </c>
      <c r="E837" s="39"/>
      <c r="F837" s="39" t="s">
        <v>1027</v>
      </c>
      <c r="G837" s="44">
        <v>0.3</v>
      </c>
      <c r="H837" s="39" t="s">
        <v>101</v>
      </c>
      <c r="I837" s="39" t="s">
        <v>102</v>
      </c>
      <c r="J837" s="41">
        <v>2500</v>
      </c>
      <c r="K837" s="42">
        <v>24.5</v>
      </c>
      <c r="L837" s="43"/>
      <c r="M837" s="43">
        <f>L837*K837</f>
        <v>0</v>
      </c>
      <c r="N837" s="35">
        <v>4690368035101</v>
      </c>
    </row>
    <row r="838" spans="1:14" ht="12" customHeight="1" outlineLevel="2" x14ac:dyDescent="0.2">
      <c r="A838" s="22"/>
      <c r="B838" s="23"/>
      <c r="C838" s="23"/>
      <c r="D838" s="23"/>
      <c r="E838" s="24"/>
      <c r="F838" s="24" t="s">
        <v>1028</v>
      </c>
      <c r="G838" s="24"/>
      <c r="H838" s="24"/>
      <c r="I838" s="24"/>
      <c r="J838" s="24"/>
      <c r="K838" s="24"/>
      <c r="L838" s="24"/>
      <c r="M838" s="24"/>
      <c r="N838" s="25"/>
    </row>
    <row r="839" spans="1:14" ht="36" customHeight="1" outlineLevel="3" x14ac:dyDescent="0.2">
      <c r="A839" s="45">
        <v>15303</v>
      </c>
      <c r="B839" s="37" t="str">
        <f>HYPERLINK("http://sedek.ru/upload/iblock/782/mangold_alyy.jpg","фото")</f>
        <v>фото</v>
      </c>
      <c r="C839" s="38"/>
      <c r="D839" s="38" t="s">
        <v>266</v>
      </c>
      <c r="E839" s="39"/>
      <c r="F839" s="39" t="s">
        <v>1029</v>
      </c>
      <c r="G839" s="40">
        <v>2</v>
      </c>
      <c r="H839" s="39" t="s">
        <v>101</v>
      </c>
      <c r="I839" s="39" t="s">
        <v>102</v>
      </c>
      <c r="J839" s="41">
        <v>1000</v>
      </c>
      <c r="K839" s="42">
        <v>18.8</v>
      </c>
      <c r="L839" s="43"/>
      <c r="M839" s="43">
        <f>L839*K839</f>
        <v>0</v>
      </c>
      <c r="N839" s="35">
        <v>4607149401567</v>
      </c>
    </row>
    <row r="840" spans="1:14" ht="36" customHeight="1" outlineLevel="3" x14ac:dyDescent="0.2">
      <c r="A840" s="45">
        <v>15303</v>
      </c>
      <c r="B840" s="37" t="str">
        <f>HYPERLINK("http://sedek.ru/upload/iblock/782/mangold_alyy.jpg","фото")</f>
        <v>фото</v>
      </c>
      <c r="C840" s="38"/>
      <c r="D840" s="38" t="s">
        <v>266</v>
      </c>
      <c r="E840" s="39"/>
      <c r="F840" s="39" t="s">
        <v>1030</v>
      </c>
      <c r="G840" s="40">
        <v>2</v>
      </c>
      <c r="H840" s="39" t="s">
        <v>101</v>
      </c>
      <c r="I840" s="39" t="s">
        <v>287</v>
      </c>
      <c r="J840" s="41">
        <v>1000</v>
      </c>
      <c r="K840" s="42">
        <v>6.5</v>
      </c>
      <c r="L840" s="43"/>
      <c r="M840" s="43">
        <f>L840*K840</f>
        <v>0</v>
      </c>
      <c r="N840" s="35">
        <v>4607149405510</v>
      </c>
    </row>
    <row r="841" spans="1:14" ht="36" customHeight="1" outlineLevel="3" x14ac:dyDescent="0.2">
      <c r="A841" s="36" t="s">
        <v>1031</v>
      </c>
      <c r="B841" s="37" t="str">
        <f>HYPERLINK("http://www.sedek.ru/upload/iblock/33b/mangold_doktor_smes_sortov.jpg","фото")</f>
        <v>фото</v>
      </c>
      <c r="C841" s="38"/>
      <c r="D841" s="38"/>
      <c r="E841" s="39"/>
      <c r="F841" s="39" t="s">
        <v>1032</v>
      </c>
      <c r="G841" s="40">
        <v>2</v>
      </c>
      <c r="H841" s="39" t="s">
        <v>101</v>
      </c>
      <c r="I841" s="39" t="s">
        <v>102</v>
      </c>
      <c r="J841" s="41">
        <v>1000</v>
      </c>
      <c r="K841" s="42">
        <v>20</v>
      </c>
      <c r="L841" s="43"/>
      <c r="M841" s="43">
        <f>L841*K841</f>
        <v>0</v>
      </c>
      <c r="N841" s="35">
        <v>4690368032834</v>
      </c>
    </row>
    <row r="842" spans="1:14" ht="36" customHeight="1" outlineLevel="3" x14ac:dyDescent="0.2">
      <c r="A842" s="45">
        <v>15296</v>
      </c>
      <c r="B842" s="37" t="str">
        <f>HYPERLINK("http://sedek.ru/upload/iblock/6da/mangold_zelenyy.jpg","фото")</f>
        <v>фото</v>
      </c>
      <c r="C842" s="38"/>
      <c r="D842" s="38"/>
      <c r="E842" s="39"/>
      <c r="F842" s="39" t="s">
        <v>1033</v>
      </c>
      <c r="G842" s="40">
        <v>2</v>
      </c>
      <c r="H842" s="39" t="s">
        <v>101</v>
      </c>
      <c r="I842" s="39" t="s">
        <v>102</v>
      </c>
      <c r="J842" s="41">
        <v>1000</v>
      </c>
      <c r="K842" s="42">
        <v>20</v>
      </c>
      <c r="L842" s="43"/>
      <c r="M842" s="43">
        <f>L842*K842</f>
        <v>0</v>
      </c>
      <c r="N842" s="35">
        <v>4607149401574</v>
      </c>
    </row>
    <row r="843" spans="1:14" ht="36" customHeight="1" outlineLevel="3" x14ac:dyDescent="0.2">
      <c r="A843" s="45">
        <v>15203</v>
      </c>
      <c r="B843" s="37" t="str">
        <f>HYPERLINK("http://sedek.ru/upload/iblock/b07/mangold_mirazh.jpg","фото")</f>
        <v>фото</v>
      </c>
      <c r="C843" s="38"/>
      <c r="D843" s="38" t="s">
        <v>266</v>
      </c>
      <c r="E843" s="39"/>
      <c r="F843" s="39" t="s">
        <v>1034</v>
      </c>
      <c r="G843" s="40">
        <v>2</v>
      </c>
      <c r="H843" s="39" t="s">
        <v>101</v>
      </c>
      <c r="I843" s="39" t="s">
        <v>102</v>
      </c>
      <c r="J843" s="41">
        <v>1000</v>
      </c>
      <c r="K843" s="42">
        <v>20</v>
      </c>
      <c r="L843" s="43"/>
      <c r="M843" s="43">
        <f>L843*K843</f>
        <v>0</v>
      </c>
      <c r="N843" s="35">
        <v>4607015187489</v>
      </c>
    </row>
    <row r="844" spans="1:14" ht="36" customHeight="1" outlineLevel="3" x14ac:dyDescent="0.2">
      <c r="A844" s="45">
        <v>15203</v>
      </c>
      <c r="B844" s="37" t="str">
        <f>HYPERLINK("http://sedek.ru/upload/iblock/b07/mangold_mirazh.jpg","фото")</f>
        <v>фото</v>
      </c>
      <c r="C844" s="38"/>
      <c r="D844" s="38" t="s">
        <v>266</v>
      </c>
      <c r="E844" s="39"/>
      <c r="F844" s="39" t="s">
        <v>1035</v>
      </c>
      <c r="G844" s="40">
        <v>2</v>
      </c>
      <c r="H844" s="39" t="s">
        <v>101</v>
      </c>
      <c r="I844" s="39" t="s">
        <v>287</v>
      </c>
      <c r="J844" s="41">
        <v>1000</v>
      </c>
      <c r="K844" s="42">
        <v>7.9</v>
      </c>
      <c r="L844" s="43"/>
      <c r="M844" s="43">
        <f>L844*K844</f>
        <v>0</v>
      </c>
      <c r="N844" s="35">
        <v>4607149408924</v>
      </c>
    </row>
    <row r="845" spans="1:14" ht="12" customHeight="1" outlineLevel="2" x14ac:dyDescent="0.2">
      <c r="A845" s="22"/>
      <c r="B845" s="23"/>
      <c r="C845" s="23"/>
      <c r="D845" s="23"/>
      <c r="E845" s="24"/>
      <c r="F845" s="24" t="s">
        <v>1036</v>
      </c>
      <c r="G845" s="24"/>
      <c r="H845" s="24"/>
      <c r="I845" s="24"/>
      <c r="J845" s="24"/>
      <c r="K845" s="24"/>
      <c r="L845" s="24"/>
      <c r="M845" s="24"/>
      <c r="N845" s="25"/>
    </row>
    <row r="846" spans="1:14" ht="24" customHeight="1" outlineLevel="3" x14ac:dyDescent="0.2">
      <c r="A846" s="36" t="s">
        <v>1037</v>
      </c>
      <c r="B846" s="37" t="str">
        <f>HYPERLINK("http://sedek.ru/upload/iblock/b24/tabak_makhorka_derevenskaya.jpg","фото")</f>
        <v>фото</v>
      </c>
      <c r="C846" s="38"/>
      <c r="D846" s="38"/>
      <c r="E846" s="39"/>
      <c r="F846" s="39" t="s">
        <v>1038</v>
      </c>
      <c r="G846" s="54">
        <v>0.01</v>
      </c>
      <c r="H846" s="39" t="s">
        <v>101</v>
      </c>
      <c r="I846" s="39" t="s">
        <v>102</v>
      </c>
      <c r="J846" s="41">
        <v>5000</v>
      </c>
      <c r="K846" s="42">
        <v>20</v>
      </c>
      <c r="L846" s="43"/>
      <c r="M846" s="43">
        <f>L846*K846</f>
        <v>0</v>
      </c>
      <c r="N846" s="35">
        <v>4690368024211</v>
      </c>
    </row>
    <row r="847" spans="1:14" ht="12" customHeight="1" outlineLevel="2" x14ac:dyDescent="0.2">
      <c r="A847" s="22"/>
      <c r="B847" s="23"/>
      <c r="C847" s="23"/>
      <c r="D847" s="23"/>
      <c r="E847" s="24"/>
      <c r="F847" s="24" t="s">
        <v>1039</v>
      </c>
      <c r="G847" s="24"/>
      <c r="H847" s="24"/>
      <c r="I847" s="24"/>
      <c r="J847" s="24"/>
      <c r="K847" s="24"/>
      <c r="L847" s="24"/>
      <c r="M847" s="24"/>
      <c r="N847" s="25"/>
    </row>
    <row r="848" spans="1:14" ht="24" customHeight="1" outlineLevel="3" x14ac:dyDescent="0.2">
      <c r="A848" s="36" t="s">
        <v>1040</v>
      </c>
      <c r="B848" s="37" t="str">
        <f>HYPERLINK("http://www.sedek.ru/upload/iblock/33a/momordika_azhur.jpg","фото")</f>
        <v>фото</v>
      </c>
      <c r="C848" s="38"/>
      <c r="D848" s="38" t="s">
        <v>266</v>
      </c>
      <c r="E848" s="39" t="s">
        <v>263</v>
      </c>
      <c r="F848" s="39" t="s">
        <v>1041</v>
      </c>
      <c r="G848" s="40">
        <v>3</v>
      </c>
      <c r="H848" s="39" t="s">
        <v>307</v>
      </c>
      <c r="I848" s="39" t="s">
        <v>102</v>
      </c>
      <c r="J848" s="41">
        <v>2000</v>
      </c>
      <c r="K848" s="42">
        <v>62.1</v>
      </c>
      <c r="L848" s="43"/>
      <c r="M848" s="43">
        <f>L848*K848</f>
        <v>0</v>
      </c>
      <c r="N848" s="35">
        <v>4690368035088</v>
      </c>
    </row>
    <row r="849" spans="1:14" ht="24" customHeight="1" outlineLevel="3" x14ac:dyDescent="0.2">
      <c r="A849" s="36" t="s">
        <v>1042</v>
      </c>
      <c r="B849" s="37" t="str">
        <f>HYPERLINK("http://sedek.ru/upload/iblock/f8f/momordika_nefrit.jpg","фото")</f>
        <v>фото</v>
      </c>
      <c r="C849" s="38"/>
      <c r="D849" s="38"/>
      <c r="E849" s="39"/>
      <c r="F849" s="39" t="s">
        <v>1043</v>
      </c>
      <c r="G849" s="40">
        <v>3</v>
      </c>
      <c r="H849" s="39" t="s">
        <v>307</v>
      </c>
      <c r="I849" s="39" t="s">
        <v>102</v>
      </c>
      <c r="J849" s="41">
        <v>2000</v>
      </c>
      <c r="K849" s="42">
        <v>68.3</v>
      </c>
      <c r="L849" s="43"/>
      <c r="M849" s="43">
        <f>L849*K849</f>
        <v>0</v>
      </c>
      <c r="N849" s="35">
        <v>4690368026598</v>
      </c>
    </row>
    <row r="850" spans="1:14" ht="12" customHeight="1" outlineLevel="2" x14ac:dyDescent="0.2">
      <c r="A850" s="22"/>
      <c r="B850" s="23"/>
      <c r="C850" s="23"/>
      <c r="D850" s="23"/>
      <c r="E850" s="24"/>
      <c r="F850" s="24" t="s">
        <v>1044</v>
      </c>
      <c r="G850" s="24"/>
      <c r="H850" s="24"/>
      <c r="I850" s="24"/>
      <c r="J850" s="24"/>
      <c r="K850" s="24"/>
      <c r="L850" s="24"/>
      <c r="M850" s="24"/>
      <c r="N850" s="25"/>
    </row>
    <row r="851" spans="1:14" ht="24" customHeight="1" outlineLevel="3" x14ac:dyDescent="0.2">
      <c r="A851" s="36" t="s">
        <v>1045</v>
      </c>
      <c r="B851" s="37" t="str">
        <f>HYPERLINK("http://www.sedek.ru/upload/iblock/95f/morkov_azhur.jpg","Фото")</f>
        <v>Фото</v>
      </c>
      <c r="C851" s="38"/>
      <c r="D851" s="38"/>
      <c r="E851" s="39" t="s">
        <v>263</v>
      </c>
      <c r="F851" s="39" t="s">
        <v>1046</v>
      </c>
      <c r="G851" s="40">
        <v>2</v>
      </c>
      <c r="H851" s="39" t="s">
        <v>101</v>
      </c>
      <c r="I851" s="39" t="s">
        <v>102</v>
      </c>
      <c r="J851" s="41">
        <v>2000</v>
      </c>
      <c r="K851" s="42">
        <v>20</v>
      </c>
      <c r="L851" s="43"/>
      <c r="M851" s="43">
        <f>L851*K851</f>
        <v>0</v>
      </c>
      <c r="N851" s="35">
        <v>4690368030359</v>
      </c>
    </row>
    <row r="852" spans="1:14" ht="36" customHeight="1" outlineLevel="3" x14ac:dyDescent="0.2">
      <c r="A852" s="45">
        <v>14548</v>
      </c>
      <c r="B852" s="37" t="str">
        <f>HYPERLINK("http://sedek.ru/upload/iblock/302/morkov_amsterdamska.jpg","фото")</f>
        <v>фото</v>
      </c>
      <c r="C852" s="38"/>
      <c r="D852" s="38"/>
      <c r="E852" s="39"/>
      <c r="F852" s="39" t="s">
        <v>1047</v>
      </c>
      <c r="G852" s="40">
        <v>2</v>
      </c>
      <c r="H852" s="39" t="s">
        <v>101</v>
      </c>
      <c r="I852" s="39" t="s">
        <v>102</v>
      </c>
      <c r="J852" s="41">
        <v>2000</v>
      </c>
      <c r="K852" s="42">
        <v>16.600000000000001</v>
      </c>
      <c r="L852" s="43"/>
      <c r="M852" s="43">
        <f>L852*K852</f>
        <v>0</v>
      </c>
      <c r="N852" s="35">
        <v>4607015187496</v>
      </c>
    </row>
    <row r="853" spans="1:14" ht="36" customHeight="1" outlineLevel="3" x14ac:dyDescent="0.2">
      <c r="A853" s="36" t="s">
        <v>1048</v>
      </c>
      <c r="B853" s="37" t="str">
        <f>HYPERLINK("http://sedek.ru/upload/iblock/de5/morkov_berlikum_5.png","фото")</f>
        <v>фото</v>
      </c>
      <c r="C853" s="38"/>
      <c r="D853" s="38"/>
      <c r="E853" s="39"/>
      <c r="F853" s="39" t="s">
        <v>1049</v>
      </c>
      <c r="G853" s="40">
        <v>2</v>
      </c>
      <c r="H853" s="39" t="s">
        <v>101</v>
      </c>
      <c r="I853" s="39" t="s">
        <v>102</v>
      </c>
      <c r="J853" s="41">
        <v>2000</v>
      </c>
      <c r="K853" s="42">
        <v>20</v>
      </c>
      <c r="L853" s="43"/>
      <c r="M853" s="43">
        <f>L853*K853</f>
        <v>0</v>
      </c>
      <c r="N853" s="35">
        <v>4690368039390</v>
      </c>
    </row>
    <row r="854" spans="1:14" ht="36" customHeight="1" outlineLevel="3" x14ac:dyDescent="0.2">
      <c r="A854" s="36" t="s">
        <v>1048</v>
      </c>
      <c r="B854" s="37" t="str">
        <f>HYPERLINK("http://sedek.ru/upload/iblock/de5/morkov_berlikum_5.png","фото")</f>
        <v>фото</v>
      </c>
      <c r="C854" s="38"/>
      <c r="D854" s="38"/>
      <c r="E854" s="39"/>
      <c r="F854" s="39" t="s">
        <v>1050</v>
      </c>
      <c r="G854" s="40">
        <v>1</v>
      </c>
      <c r="H854" s="39" t="s">
        <v>101</v>
      </c>
      <c r="I854" s="39" t="s">
        <v>287</v>
      </c>
      <c r="J854" s="41">
        <v>2000</v>
      </c>
      <c r="K854" s="42">
        <v>8.9</v>
      </c>
      <c r="L854" s="43"/>
      <c r="M854" s="43">
        <f>L854*K854</f>
        <v>0</v>
      </c>
      <c r="N854" s="35">
        <v>4690368043939</v>
      </c>
    </row>
    <row r="855" spans="1:14" ht="24" customHeight="1" outlineLevel="3" x14ac:dyDescent="0.2">
      <c r="A855" s="45">
        <v>16836</v>
      </c>
      <c r="B855" s="37" t="str">
        <f>HYPERLINK("http://www.sedek.ru/upload/iblock/3d3/morkov_berlikum_royal.jpg","Фото")</f>
        <v>Фото</v>
      </c>
      <c r="C855" s="38"/>
      <c r="D855" s="38"/>
      <c r="E855" s="39"/>
      <c r="F855" s="39" t="s">
        <v>1051</v>
      </c>
      <c r="G855" s="40">
        <v>2</v>
      </c>
      <c r="H855" s="39" t="s">
        <v>101</v>
      </c>
      <c r="I855" s="39" t="s">
        <v>102</v>
      </c>
      <c r="J855" s="41">
        <v>2000</v>
      </c>
      <c r="K855" s="42">
        <v>20</v>
      </c>
      <c r="L855" s="43"/>
      <c r="M855" s="43">
        <f>L855*K855</f>
        <v>0</v>
      </c>
      <c r="N855" s="35">
        <v>4690368030366</v>
      </c>
    </row>
    <row r="856" spans="1:14" ht="24" customHeight="1" outlineLevel="3" x14ac:dyDescent="0.2">
      <c r="A856" s="46">
        <v>15430</v>
      </c>
      <c r="B856" s="47" t="str">
        <f>HYPERLINK("http://sedek.ru/upload/iblock/da2/morkov_varvara.jpg","фото")</f>
        <v>фото</v>
      </c>
      <c r="C856" s="48"/>
      <c r="D856" s="48"/>
      <c r="E856" s="49"/>
      <c r="F856" s="49" t="s">
        <v>1052</v>
      </c>
      <c r="G856" s="50">
        <v>2</v>
      </c>
      <c r="H856" s="49" t="s">
        <v>101</v>
      </c>
      <c r="I856" s="49" t="s">
        <v>102</v>
      </c>
      <c r="J856" s="51">
        <v>2000</v>
      </c>
      <c r="K856" s="52">
        <v>19</v>
      </c>
      <c r="L856" s="53"/>
      <c r="M856" s="53">
        <f>L856*K856</f>
        <v>0</v>
      </c>
      <c r="N856" s="35">
        <v>4690368007771</v>
      </c>
    </row>
    <row r="857" spans="1:14" ht="24" customHeight="1" outlineLevel="3" x14ac:dyDescent="0.2">
      <c r="A857" s="71">
        <v>15430</v>
      </c>
      <c r="B857" s="72" t="str">
        <f>HYPERLINK("http://sedek.ru/upload/iblock/da2/morkov_varvara.jpg","фото")</f>
        <v>фото</v>
      </c>
      <c r="C857" s="73"/>
      <c r="D857" s="73"/>
      <c r="E857" s="74"/>
      <c r="F857" s="74" t="s">
        <v>1053</v>
      </c>
      <c r="G857" s="75">
        <v>2</v>
      </c>
      <c r="H857" s="74" t="s">
        <v>101</v>
      </c>
      <c r="I857" s="74" t="s">
        <v>287</v>
      </c>
      <c r="J857" s="76">
        <v>2000</v>
      </c>
      <c r="K857" s="77">
        <v>9.6</v>
      </c>
      <c r="L857" s="78"/>
      <c r="M857" s="78">
        <f>L857*K857</f>
        <v>0</v>
      </c>
      <c r="N857" s="79">
        <v>4690368008259</v>
      </c>
    </row>
    <row r="858" spans="1:14" ht="24" customHeight="1" outlineLevel="3" x14ac:dyDescent="0.2">
      <c r="A858" s="36" t="s">
        <v>1054</v>
      </c>
      <c r="B858" s="37" t="str">
        <f>HYPERLINK("http://sedek.ru/upload/iblock/def/morkov_vita_longa.jpg","фото")</f>
        <v>фото</v>
      </c>
      <c r="C858" s="38"/>
      <c r="D858" s="38"/>
      <c r="E858" s="39"/>
      <c r="F858" s="39" t="s">
        <v>1055</v>
      </c>
      <c r="G858" s="40">
        <v>2</v>
      </c>
      <c r="H858" s="39" t="s">
        <v>101</v>
      </c>
      <c r="I858" s="39" t="s">
        <v>102</v>
      </c>
      <c r="J858" s="41">
        <v>2000</v>
      </c>
      <c r="K858" s="42">
        <v>20</v>
      </c>
      <c r="L858" s="43"/>
      <c r="M858" s="43">
        <f>L858*K858</f>
        <v>0</v>
      </c>
      <c r="N858" s="35">
        <v>4690368028554</v>
      </c>
    </row>
    <row r="859" spans="1:14" ht="24" customHeight="1" outlineLevel="3" x14ac:dyDescent="0.2">
      <c r="A859" s="36" t="s">
        <v>1054</v>
      </c>
      <c r="B859" s="37" t="str">
        <f>HYPERLINK("http://sedek.ru/upload/iblock/def/morkov_vita_longa.jpg","фото")</f>
        <v>фото</v>
      </c>
      <c r="C859" s="38"/>
      <c r="D859" s="38"/>
      <c r="E859" s="39"/>
      <c r="F859" s="39" t="s">
        <v>1056</v>
      </c>
      <c r="G859" s="40">
        <v>1</v>
      </c>
      <c r="H859" s="39" t="s">
        <v>101</v>
      </c>
      <c r="I859" s="39" t="s">
        <v>102</v>
      </c>
      <c r="J859" s="41">
        <v>2000</v>
      </c>
      <c r="K859" s="42">
        <v>20</v>
      </c>
      <c r="L859" s="43"/>
      <c r="M859" s="43">
        <f>L859*K859</f>
        <v>0</v>
      </c>
      <c r="N859" s="35">
        <v>4690368028554</v>
      </c>
    </row>
    <row r="860" spans="1:14" ht="36" customHeight="1" outlineLevel="3" x14ac:dyDescent="0.2">
      <c r="A860" s="45">
        <v>15503</v>
      </c>
      <c r="B860" s="37" t="str">
        <f>HYPERLINK("http://sedek.ru/upload/iblock/32f/morkov_vitaminnaya_6.JPG","фото")</f>
        <v>фото</v>
      </c>
      <c r="C860" s="38"/>
      <c r="D860" s="38"/>
      <c r="E860" s="39"/>
      <c r="F860" s="39" t="s">
        <v>1057</v>
      </c>
      <c r="G860" s="40">
        <v>2</v>
      </c>
      <c r="H860" s="39" t="s">
        <v>101</v>
      </c>
      <c r="I860" s="39" t="s">
        <v>287</v>
      </c>
      <c r="J860" s="41">
        <v>2000</v>
      </c>
      <c r="K860" s="42">
        <v>8.1</v>
      </c>
      <c r="L860" s="43"/>
      <c r="M860" s="43">
        <f>L860*K860</f>
        <v>0</v>
      </c>
      <c r="N860" s="35">
        <v>4607149405534</v>
      </c>
    </row>
    <row r="861" spans="1:14" ht="24" customHeight="1" outlineLevel="3" x14ac:dyDescent="0.2">
      <c r="A861" s="45">
        <v>14843</v>
      </c>
      <c r="B861" s="37" t="str">
        <f>HYPERLINK("http://sedek.ru/upload/iblock/040/morkov_vnuchka.jpg","фото")</f>
        <v>фото</v>
      </c>
      <c r="C861" s="38"/>
      <c r="D861" s="38"/>
      <c r="E861" s="39"/>
      <c r="F861" s="39" t="s">
        <v>1058</v>
      </c>
      <c r="G861" s="40">
        <v>2</v>
      </c>
      <c r="H861" s="39" t="s">
        <v>101</v>
      </c>
      <c r="I861" s="39" t="s">
        <v>102</v>
      </c>
      <c r="J861" s="41">
        <v>2000</v>
      </c>
      <c r="K861" s="42">
        <v>20</v>
      </c>
      <c r="L861" s="43"/>
      <c r="M861" s="43">
        <f>L861*K861</f>
        <v>0</v>
      </c>
      <c r="N861" s="35">
        <v>4690368017299</v>
      </c>
    </row>
    <row r="862" spans="1:14" ht="24" customHeight="1" outlineLevel="3" x14ac:dyDescent="0.2">
      <c r="A862" s="45">
        <v>14572</v>
      </c>
      <c r="B862" s="37" t="str">
        <f>HYPERLINK("http://sedek.ru/upload/iblock/0f3/morkov_detskiy_vkus.jpg","фото")</f>
        <v>фото</v>
      </c>
      <c r="C862" s="38"/>
      <c r="D862" s="38"/>
      <c r="E862" s="39"/>
      <c r="F862" s="39" t="s">
        <v>1059</v>
      </c>
      <c r="G862" s="40">
        <v>2</v>
      </c>
      <c r="H862" s="39" t="s">
        <v>101</v>
      </c>
      <c r="I862" s="39" t="s">
        <v>102</v>
      </c>
      <c r="J862" s="41">
        <v>2000</v>
      </c>
      <c r="K862" s="42">
        <v>21.4</v>
      </c>
      <c r="L862" s="43"/>
      <c r="M862" s="43">
        <f>L862*K862</f>
        <v>0</v>
      </c>
      <c r="N862" s="35">
        <v>4607149404575</v>
      </c>
    </row>
    <row r="863" spans="1:14" ht="24" customHeight="1" outlineLevel="3" x14ac:dyDescent="0.2">
      <c r="A863" s="45">
        <v>14212</v>
      </c>
      <c r="B863" s="37" t="str">
        <f>HYPERLINK("http://sedek.ru/upload/iblock/d2f/morkov_dolyanka.jpg","фото")</f>
        <v>фото</v>
      </c>
      <c r="C863" s="38"/>
      <c r="D863" s="38"/>
      <c r="E863" s="39"/>
      <c r="F863" s="39" t="s">
        <v>1060</v>
      </c>
      <c r="G863" s="40">
        <v>2</v>
      </c>
      <c r="H863" s="39" t="s">
        <v>101</v>
      </c>
      <c r="I863" s="39" t="s">
        <v>102</v>
      </c>
      <c r="J863" s="41">
        <v>2000</v>
      </c>
      <c r="K863" s="42">
        <v>20</v>
      </c>
      <c r="L863" s="43"/>
      <c r="M863" s="43">
        <f>L863*K863</f>
        <v>0</v>
      </c>
      <c r="N863" s="35">
        <v>4607015187526</v>
      </c>
    </row>
    <row r="864" spans="1:14" ht="24" customHeight="1" outlineLevel="3" x14ac:dyDescent="0.2">
      <c r="A864" s="45">
        <v>14212</v>
      </c>
      <c r="B864" s="37" t="str">
        <f>HYPERLINK("http://sedek.ru/upload/iblock/d2f/morkov_dolyanka.jpg","фото")</f>
        <v>фото</v>
      </c>
      <c r="C864" s="38"/>
      <c r="D864" s="38"/>
      <c r="E864" s="39"/>
      <c r="F864" s="39" t="s">
        <v>1061</v>
      </c>
      <c r="G864" s="40">
        <v>2</v>
      </c>
      <c r="H864" s="39" t="s">
        <v>101</v>
      </c>
      <c r="I864" s="39" t="s">
        <v>287</v>
      </c>
      <c r="J864" s="41">
        <v>2000</v>
      </c>
      <c r="K864" s="42">
        <v>9.6</v>
      </c>
      <c r="L864" s="43"/>
      <c r="M864" s="43">
        <f>L864*K864</f>
        <v>0</v>
      </c>
      <c r="N864" s="35">
        <v>4607149402823</v>
      </c>
    </row>
    <row r="865" spans="1:14" ht="36" customHeight="1" outlineLevel="3" x14ac:dyDescent="0.2">
      <c r="A865" s="45">
        <v>14064</v>
      </c>
      <c r="B865" s="37" t="str">
        <f>HYPERLINK("http://sedek.ru/upload/iblock/8f2/morkov_dunyasha.jpg","фото")</f>
        <v>фото</v>
      </c>
      <c r="C865" s="38"/>
      <c r="D865" s="38"/>
      <c r="E865" s="39"/>
      <c r="F865" s="39" t="s">
        <v>1062</v>
      </c>
      <c r="G865" s="40">
        <v>2</v>
      </c>
      <c r="H865" s="39" t="s">
        <v>101</v>
      </c>
      <c r="I865" s="39" t="s">
        <v>102</v>
      </c>
      <c r="J865" s="41">
        <v>2000</v>
      </c>
      <c r="K865" s="42">
        <v>20.5</v>
      </c>
      <c r="L865" s="43"/>
      <c r="M865" s="43">
        <f>L865*K865</f>
        <v>0</v>
      </c>
      <c r="N865" s="35">
        <v>4690368006736</v>
      </c>
    </row>
    <row r="866" spans="1:14" ht="36" customHeight="1" outlineLevel="3" x14ac:dyDescent="0.2">
      <c r="A866" s="45">
        <v>14064</v>
      </c>
      <c r="B866" s="37" t="str">
        <f>HYPERLINK("http://sedek.ru/upload/iblock/8f2/morkov_dunyasha.jpg","фото")</f>
        <v>фото</v>
      </c>
      <c r="C866" s="38"/>
      <c r="D866" s="38"/>
      <c r="E866" s="39"/>
      <c r="F866" s="39" t="s">
        <v>1063</v>
      </c>
      <c r="G866" s="40">
        <v>2</v>
      </c>
      <c r="H866" s="39" t="s">
        <v>101</v>
      </c>
      <c r="I866" s="39" t="s">
        <v>287</v>
      </c>
      <c r="J866" s="41">
        <v>2000</v>
      </c>
      <c r="K866" s="42">
        <v>9.6</v>
      </c>
      <c r="L866" s="43"/>
      <c r="M866" s="43">
        <f>L866*K866</f>
        <v>0</v>
      </c>
      <c r="N866" s="35">
        <v>4690368008266</v>
      </c>
    </row>
    <row r="867" spans="1:14" ht="36" customHeight="1" outlineLevel="3" x14ac:dyDescent="0.2">
      <c r="A867" s="45">
        <v>16396</v>
      </c>
      <c r="B867" s="37" t="str">
        <f>HYPERLINK("http://sedek.ru/upload/iblock/f7a/morkov_kalina_f1.jpg","фото")</f>
        <v>фото</v>
      </c>
      <c r="C867" s="38"/>
      <c r="D867" s="38"/>
      <c r="E867" s="39"/>
      <c r="F867" s="39" t="s">
        <v>1064</v>
      </c>
      <c r="G867" s="40">
        <v>2</v>
      </c>
      <c r="H867" s="39" t="s">
        <v>101</v>
      </c>
      <c r="I867" s="39" t="s">
        <v>102</v>
      </c>
      <c r="J867" s="41">
        <v>2000</v>
      </c>
      <c r="K867" s="42">
        <v>20.8</v>
      </c>
      <c r="L867" s="43"/>
      <c r="M867" s="43">
        <f>L867*K867</f>
        <v>0</v>
      </c>
      <c r="N867" s="35">
        <v>4607015187533</v>
      </c>
    </row>
    <row r="868" spans="1:14" ht="36" customHeight="1" outlineLevel="3" x14ac:dyDescent="0.2">
      <c r="A868" s="45">
        <v>15325</v>
      </c>
      <c r="B868" s="37" t="str">
        <f>HYPERLINK("http://sedek.ru/upload/iblock/f07/morkov_kanada_f1.jpg","фото")</f>
        <v>фото</v>
      </c>
      <c r="C868" s="38"/>
      <c r="D868" s="38"/>
      <c r="E868" s="39"/>
      <c r="F868" s="39" t="s">
        <v>1065</v>
      </c>
      <c r="G868" s="44">
        <v>0.2</v>
      </c>
      <c r="H868" s="39" t="s">
        <v>101</v>
      </c>
      <c r="I868" s="39" t="s">
        <v>102</v>
      </c>
      <c r="J868" s="41">
        <v>2000</v>
      </c>
      <c r="K868" s="42">
        <v>42.4</v>
      </c>
      <c r="L868" s="43"/>
      <c r="M868" s="43">
        <f>L868*K868</f>
        <v>0</v>
      </c>
      <c r="N868" s="35">
        <v>4607149400461</v>
      </c>
    </row>
    <row r="869" spans="1:14" ht="36" customHeight="1" outlineLevel="3" x14ac:dyDescent="0.2">
      <c r="A869" s="45">
        <v>15924</v>
      </c>
      <c r="B869" s="37" t="str">
        <f>HYPERLINK("http://sedek.ru/upload/iblock/8cd/morkov_kardinal.jpg","фото")</f>
        <v>фото</v>
      </c>
      <c r="C869" s="38"/>
      <c r="D869" s="38"/>
      <c r="E869" s="39"/>
      <c r="F869" s="39" t="s">
        <v>1066</v>
      </c>
      <c r="G869" s="40">
        <v>2</v>
      </c>
      <c r="H869" s="39" t="s">
        <v>101</v>
      </c>
      <c r="I869" s="39" t="s">
        <v>102</v>
      </c>
      <c r="J869" s="41">
        <v>2000</v>
      </c>
      <c r="K869" s="42">
        <v>20</v>
      </c>
      <c r="L869" s="43"/>
      <c r="M869" s="43">
        <f>L869*K869</f>
        <v>0</v>
      </c>
      <c r="N869" s="35">
        <v>4607015187540</v>
      </c>
    </row>
    <row r="870" spans="1:14" ht="24" customHeight="1" outlineLevel="3" x14ac:dyDescent="0.2">
      <c r="A870" s="45">
        <v>15186</v>
      </c>
      <c r="B870" s="37" t="str">
        <f>HYPERLINK("http://sedek.ru/upload/iblock/bc0/morkov_karolina.jpg","фото")</f>
        <v>фото</v>
      </c>
      <c r="C870" s="38"/>
      <c r="D870" s="38"/>
      <c r="E870" s="39"/>
      <c r="F870" s="39" t="s">
        <v>1067</v>
      </c>
      <c r="G870" s="40">
        <v>2</v>
      </c>
      <c r="H870" s="39"/>
      <c r="I870" s="39" t="s">
        <v>102</v>
      </c>
      <c r="J870" s="41">
        <v>2000</v>
      </c>
      <c r="K870" s="42">
        <v>20</v>
      </c>
      <c r="L870" s="43"/>
      <c r="M870" s="43">
        <f>L870*K870</f>
        <v>0</v>
      </c>
      <c r="N870" s="35">
        <v>4607015187564</v>
      </c>
    </row>
    <row r="871" spans="1:14" ht="36" customHeight="1" outlineLevel="3" x14ac:dyDescent="0.2">
      <c r="A871" s="45">
        <v>14774</v>
      </c>
      <c r="B871" s="37" t="str">
        <f>HYPERLINK("http://sedek.ru/upload/iblock/416/v9q2x53x1ijuea6htdmut11nhofrzfx4/morkov_kitayskaya_krasavitsa.jpg","фото")</f>
        <v>фото</v>
      </c>
      <c r="C871" s="38"/>
      <c r="D871" s="38"/>
      <c r="E871" s="39"/>
      <c r="F871" s="39" t="s">
        <v>1068</v>
      </c>
      <c r="G871" s="40">
        <v>2</v>
      </c>
      <c r="H871" s="39" t="s">
        <v>101</v>
      </c>
      <c r="I871" s="39" t="s">
        <v>102</v>
      </c>
      <c r="J871" s="41">
        <v>2000</v>
      </c>
      <c r="K871" s="42">
        <v>20.8</v>
      </c>
      <c r="L871" s="43"/>
      <c r="M871" s="43">
        <f>L871*K871</f>
        <v>0</v>
      </c>
      <c r="N871" s="35">
        <v>4607116267356</v>
      </c>
    </row>
    <row r="872" spans="1:14" ht="36" customHeight="1" outlineLevel="3" x14ac:dyDescent="0.2">
      <c r="A872" s="45">
        <v>14058</v>
      </c>
      <c r="B872" s="37" t="str">
        <f>HYPERLINK("http://www.sedek.ru/upload/iblock/214/morkov_koroleva_oseni.jpg","фото")</f>
        <v>фото</v>
      </c>
      <c r="C872" s="38"/>
      <c r="D872" s="38"/>
      <c r="E872" s="39"/>
      <c r="F872" s="39" t="s">
        <v>1069</v>
      </c>
      <c r="G872" s="40">
        <v>2</v>
      </c>
      <c r="H872" s="39" t="s">
        <v>101</v>
      </c>
      <c r="I872" s="39" t="s">
        <v>102</v>
      </c>
      <c r="J872" s="41">
        <v>2000</v>
      </c>
      <c r="K872" s="42">
        <v>18.8</v>
      </c>
      <c r="L872" s="43"/>
      <c r="M872" s="43">
        <f>L872*K872</f>
        <v>0</v>
      </c>
      <c r="N872" s="35">
        <v>4607149400683</v>
      </c>
    </row>
    <row r="873" spans="1:14" ht="36" customHeight="1" outlineLevel="3" x14ac:dyDescent="0.2">
      <c r="A873" s="45">
        <v>14058</v>
      </c>
      <c r="B873" s="37" t="str">
        <f>HYPERLINK("http://www.sedek.ru/upload/iblock/214/morkov_koroleva_oseni.jpg","фото")</f>
        <v>фото</v>
      </c>
      <c r="C873" s="38"/>
      <c r="D873" s="38"/>
      <c r="E873" s="39"/>
      <c r="F873" s="39" t="s">
        <v>1070</v>
      </c>
      <c r="G873" s="40">
        <v>2</v>
      </c>
      <c r="H873" s="39" t="s">
        <v>101</v>
      </c>
      <c r="I873" s="39" t="s">
        <v>287</v>
      </c>
      <c r="J873" s="41">
        <v>2000</v>
      </c>
      <c r="K873" s="42">
        <v>8.1</v>
      </c>
      <c r="L873" s="43"/>
      <c r="M873" s="43">
        <f>L873*K873</f>
        <v>0</v>
      </c>
      <c r="N873" s="35">
        <v>4607149407255</v>
      </c>
    </row>
    <row r="874" spans="1:14" ht="36" customHeight="1" outlineLevel="3" x14ac:dyDescent="0.2">
      <c r="A874" s="45">
        <v>14781</v>
      </c>
      <c r="B874" s="37" t="str">
        <f>HYPERLINK("http://sedek.ru/upload/iblock/5f7/morkov_krestyanka.jpg","фото")</f>
        <v>фото</v>
      </c>
      <c r="C874" s="38"/>
      <c r="D874" s="38"/>
      <c r="E874" s="39"/>
      <c r="F874" s="39" t="s">
        <v>1071</v>
      </c>
      <c r="G874" s="40">
        <v>2</v>
      </c>
      <c r="H874" s="39" t="s">
        <v>101</v>
      </c>
      <c r="I874" s="39" t="s">
        <v>102</v>
      </c>
      <c r="J874" s="41">
        <v>2000</v>
      </c>
      <c r="K874" s="42">
        <v>20</v>
      </c>
      <c r="L874" s="43"/>
      <c r="M874" s="43">
        <f>L874*K874</f>
        <v>0</v>
      </c>
      <c r="N874" s="35">
        <v>4607015187571</v>
      </c>
    </row>
    <row r="875" spans="1:14" ht="36" customHeight="1" outlineLevel="3" x14ac:dyDescent="0.2">
      <c r="A875" s="45">
        <v>14781</v>
      </c>
      <c r="B875" s="37" t="str">
        <f>HYPERLINK("http://sedek.ru/upload/iblock/5f7/morkov_krestyanka.jpg","фото")</f>
        <v>фото</v>
      </c>
      <c r="C875" s="38"/>
      <c r="D875" s="38"/>
      <c r="E875" s="39"/>
      <c r="F875" s="39" t="s">
        <v>1072</v>
      </c>
      <c r="G875" s="40">
        <v>2</v>
      </c>
      <c r="H875" s="39" t="s">
        <v>101</v>
      </c>
      <c r="I875" s="39" t="s">
        <v>287</v>
      </c>
      <c r="J875" s="41">
        <v>2000</v>
      </c>
      <c r="K875" s="42">
        <v>6.8</v>
      </c>
      <c r="L875" s="43"/>
      <c r="M875" s="43">
        <f>L875*K875</f>
        <v>0</v>
      </c>
      <c r="N875" s="35">
        <v>4607149409723</v>
      </c>
    </row>
    <row r="876" spans="1:14" ht="36" customHeight="1" outlineLevel="3" x14ac:dyDescent="0.2">
      <c r="A876" s="36" t="s">
        <v>1073</v>
      </c>
      <c r="B876" s="37" t="str">
        <f>HYPERLINK("http://sedek.ru/upload/iblock/b43/morkov_kuroda_shantane.jpg","фото")</f>
        <v>фото</v>
      </c>
      <c r="C876" s="38"/>
      <c r="D876" s="38"/>
      <c r="E876" s="39"/>
      <c r="F876" s="39" t="s">
        <v>1074</v>
      </c>
      <c r="G876" s="40">
        <v>2</v>
      </c>
      <c r="H876" s="39"/>
      <c r="I876" s="39" t="s">
        <v>102</v>
      </c>
      <c r="J876" s="41">
        <v>2000</v>
      </c>
      <c r="K876" s="42">
        <v>20</v>
      </c>
      <c r="L876" s="43"/>
      <c r="M876" s="43">
        <f>L876*K876</f>
        <v>0</v>
      </c>
      <c r="N876" s="35">
        <v>4690368028578</v>
      </c>
    </row>
    <row r="877" spans="1:14" ht="24" customHeight="1" outlineLevel="3" x14ac:dyDescent="0.2">
      <c r="A877" s="45">
        <v>15699</v>
      </c>
      <c r="B877" s="37" t="str">
        <f>HYPERLINK("http://sedek.ru/upload/iblock/ec2/morkov_leandr.jpg","фото")</f>
        <v>фото</v>
      </c>
      <c r="C877" s="38"/>
      <c r="D877" s="38"/>
      <c r="E877" s="39"/>
      <c r="F877" s="39" t="s">
        <v>1075</v>
      </c>
      <c r="G877" s="40">
        <v>2</v>
      </c>
      <c r="H877" s="39" t="s">
        <v>101</v>
      </c>
      <c r="I877" s="39" t="s">
        <v>102</v>
      </c>
      <c r="J877" s="41">
        <v>2000</v>
      </c>
      <c r="K877" s="42">
        <v>20</v>
      </c>
      <c r="L877" s="43"/>
      <c r="M877" s="43">
        <f>L877*K877</f>
        <v>0</v>
      </c>
      <c r="N877" s="35">
        <v>4607015187588</v>
      </c>
    </row>
    <row r="878" spans="1:14" ht="24" customHeight="1" outlineLevel="3" x14ac:dyDescent="0.2">
      <c r="A878" s="45">
        <v>15699</v>
      </c>
      <c r="B878" s="37" t="str">
        <f>HYPERLINK("http://sedek.ru/upload/iblock/ec2/morkov_leandr.jpg","фото")</f>
        <v>фото</v>
      </c>
      <c r="C878" s="38"/>
      <c r="D878" s="38"/>
      <c r="E878" s="39"/>
      <c r="F878" s="39" t="s">
        <v>1076</v>
      </c>
      <c r="G878" s="40">
        <v>2</v>
      </c>
      <c r="H878" s="39" t="s">
        <v>101</v>
      </c>
      <c r="I878" s="39" t="s">
        <v>287</v>
      </c>
      <c r="J878" s="41">
        <v>2000</v>
      </c>
      <c r="K878" s="42">
        <v>9.6</v>
      </c>
      <c r="L878" s="43"/>
      <c r="M878" s="43">
        <f>L878*K878</f>
        <v>0</v>
      </c>
      <c r="N878" s="35">
        <v>4690368005036</v>
      </c>
    </row>
    <row r="879" spans="1:14" ht="24" customHeight="1" outlineLevel="3" x14ac:dyDescent="0.2">
      <c r="A879" s="45">
        <v>13737</v>
      </c>
      <c r="B879" s="37" t="str">
        <f>HYPERLINK("http://sedek.ru/upload/iblock/a69/morkov_losinoostrovskaya_13.jpg","фото")</f>
        <v>фото</v>
      </c>
      <c r="C879" s="38"/>
      <c r="D879" s="38"/>
      <c r="E879" s="39"/>
      <c r="F879" s="39" t="s">
        <v>1077</v>
      </c>
      <c r="G879" s="40">
        <v>2</v>
      </c>
      <c r="H879" s="39" t="s">
        <v>101</v>
      </c>
      <c r="I879" s="39" t="s">
        <v>102</v>
      </c>
      <c r="J879" s="41">
        <v>2000</v>
      </c>
      <c r="K879" s="42">
        <v>15.6</v>
      </c>
      <c r="L879" s="43"/>
      <c r="M879" s="43">
        <f>L879*K879</f>
        <v>0</v>
      </c>
      <c r="N879" s="35">
        <v>4690368012607</v>
      </c>
    </row>
    <row r="880" spans="1:14" ht="36" customHeight="1" outlineLevel="3" x14ac:dyDescent="0.2">
      <c r="A880" s="36" t="s">
        <v>1078</v>
      </c>
      <c r="B880" s="37" t="str">
        <f>HYPERLINK("http://www.sedek.ru/upload/iblock/6b1/morkov_mayami_shokoladnaya_f1.jpg","фото")</f>
        <v>фото</v>
      </c>
      <c r="C880" s="38" t="s">
        <v>266</v>
      </c>
      <c r="D880" s="38" t="s">
        <v>266</v>
      </c>
      <c r="E880" s="39"/>
      <c r="F880" s="39" t="s">
        <v>1079</v>
      </c>
      <c r="G880" s="44">
        <v>0.1</v>
      </c>
      <c r="H880" s="39" t="s">
        <v>101</v>
      </c>
      <c r="I880" s="39" t="s">
        <v>102</v>
      </c>
      <c r="J880" s="41">
        <v>2000</v>
      </c>
      <c r="K880" s="42">
        <v>64.8</v>
      </c>
      <c r="L880" s="43"/>
      <c r="M880" s="43">
        <f>L880*K880</f>
        <v>0</v>
      </c>
      <c r="N880" s="35">
        <v>4690368037426</v>
      </c>
    </row>
    <row r="881" spans="1:14" ht="36" customHeight="1" outlineLevel="3" x14ac:dyDescent="0.2">
      <c r="A881" s="45">
        <v>13779</v>
      </c>
      <c r="B881" s="37" t="str">
        <f>HYPERLINK("http://www.sedek.ru/upload/iblock/cfb/morkov_malika.jpg","фото")</f>
        <v>фото</v>
      </c>
      <c r="C881" s="38"/>
      <c r="D881" s="38"/>
      <c r="E881" s="39"/>
      <c r="F881" s="39" t="s">
        <v>1080</v>
      </c>
      <c r="G881" s="40">
        <v>2</v>
      </c>
      <c r="H881" s="39"/>
      <c r="I881" s="39" t="s">
        <v>102</v>
      </c>
      <c r="J881" s="41">
        <v>2000</v>
      </c>
      <c r="K881" s="42">
        <v>20</v>
      </c>
      <c r="L881" s="43"/>
      <c r="M881" s="43">
        <f>L881*K881</f>
        <v>0</v>
      </c>
      <c r="N881" s="35">
        <v>4607015187595</v>
      </c>
    </row>
    <row r="882" spans="1:14" ht="36" customHeight="1" outlineLevel="3" x14ac:dyDescent="0.2">
      <c r="A882" s="45">
        <v>13779</v>
      </c>
      <c r="B882" s="37" t="str">
        <f>HYPERLINK("http://www.sedek.ru/upload/iblock/cfb/morkov_malika.jpg","фото")</f>
        <v>фото</v>
      </c>
      <c r="C882" s="38"/>
      <c r="D882" s="38"/>
      <c r="E882" s="39"/>
      <c r="F882" s="39" t="s">
        <v>1081</v>
      </c>
      <c r="G882" s="40">
        <v>2</v>
      </c>
      <c r="H882" s="39"/>
      <c r="I882" s="39" t="s">
        <v>287</v>
      </c>
      <c r="J882" s="41">
        <v>2000</v>
      </c>
      <c r="K882" s="42">
        <v>6.8</v>
      </c>
      <c r="L882" s="43"/>
      <c r="M882" s="43">
        <f>L882*K882</f>
        <v>0</v>
      </c>
      <c r="N882" s="35">
        <v>4690368006231</v>
      </c>
    </row>
    <row r="883" spans="1:14" ht="36" customHeight="1" outlineLevel="3" x14ac:dyDescent="0.2">
      <c r="A883" s="45">
        <v>16827</v>
      </c>
      <c r="B883" s="37" t="str">
        <f>HYPERLINK("http://www.sedek.ru/upload/iblock/cfb/morkov_malika.jpg","фото")</f>
        <v>фото</v>
      </c>
      <c r="C883" s="38"/>
      <c r="D883" s="38"/>
      <c r="E883" s="39"/>
      <c r="F883" s="39" t="s">
        <v>1082</v>
      </c>
      <c r="G883" s="40">
        <v>200</v>
      </c>
      <c r="H883" s="39" t="s">
        <v>307</v>
      </c>
      <c r="I883" s="39" t="s">
        <v>102</v>
      </c>
      <c r="J883" s="41">
        <v>2000</v>
      </c>
      <c r="K883" s="42">
        <v>26.3</v>
      </c>
      <c r="L883" s="43"/>
      <c r="M883" s="43">
        <f>L883*K883</f>
        <v>0</v>
      </c>
      <c r="N883" s="35">
        <v>4690368021180</v>
      </c>
    </row>
    <row r="884" spans="1:14" ht="36" customHeight="1" outlineLevel="3" x14ac:dyDescent="0.2">
      <c r="A884" s="45">
        <v>15207</v>
      </c>
      <c r="B884" s="37" t="str">
        <f>HYPERLINK("http://sedek.ru/upload/iblock/5a9/morkov_moskovskaya_zimnyaya_a_515.jpg","фото")</f>
        <v>фото</v>
      </c>
      <c r="C884" s="38"/>
      <c r="D884" s="38"/>
      <c r="E884" s="39"/>
      <c r="F884" s="39" t="s">
        <v>1083</v>
      </c>
      <c r="G884" s="40">
        <v>2</v>
      </c>
      <c r="H884" s="39" t="s">
        <v>101</v>
      </c>
      <c r="I884" s="39" t="s">
        <v>102</v>
      </c>
      <c r="J884" s="41">
        <v>2000</v>
      </c>
      <c r="K884" s="42">
        <v>15.6</v>
      </c>
      <c r="L884" s="43"/>
      <c r="M884" s="43">
        <f>L884*K884</f>
        <v>0</v>
      </c>
      <c r="N884" s="35">
        <v>4607015187601</v>
      </c>
    </row>
    <row r="885" spans="1:14" ht="36" customHeight="1" outlineLevel="3" x14ac:dyDescent="0.2">
      <c r="A885" s="45">
        <v>14711</v>
      </c>
      <c r="B885" s="37" t="str">
        <f>HYPERLINK("http://sedek.ru/upload/iblock/b13/morkov_muskat.jpg","фото")</f>
        <v>фото</v>
      </c>
      <c r="C885" s="38"/>
      <c r="D885" s="38"/>
      <c r="E885" s="39"/>
      <c r="F885" s="39" t="s">
        <v>1084</v>
      </c>
      <c r="G885" s="40">
        <v>2</v>
      </c>
      <c r="H885" s="39" t="s">
        <v>101</v>
      </c>
      <c r="I885" s="39" t="s">
        <v>102</v>
      </c>
      <c r="J885" s="41">
        <v>2000</v>
      </c>
      <c r="K885" s="42">
        <v>20.6</v>
      </c>
      <c r="L885" s="43"/>
      <c r="M885" s="43">
        <f>L885*K885</f>
        <v>0</v>
      </c>
      <c r="N885" s="35">
        <v>4690368012836</v>
      </c>
    </row>
    <row r="886" spans="1:14" ht="36" customHeight="1" outlineLevel="3" x14ac:dyDescent="0.2">
      <c r="A886" s="45">
        <v>14270</v>
      </c>
      <c r="B886" s="37" t="str">
        <f>HYPERLINK("http://sedek.ru/upload/iblock/192/morkov_nandrin_f1.jpg","фото")</f>
        <v>фото</v>
      </c>
      <c r="C886" s="38"/>
      <c r="D886" s="38"/>
      <c r="E886" s="39"/>
      <c r="F886" s="39" t="s">
        <v>1085</v>
      </c>
      <c r="G886" s="40">
        <v>100</v>
      </c>
      <c r="H886" s="39" t="s">
        <v>307</v>
      </c>
      <c r="I886" s="39" t="s">
        <v>102</v>
      </c>
      <c r="J886" s="41">
        <v>2000</v>
      </c>
      <c r="K886" s="42">
        <v>36</v>
      </c>
      <c r="L886" s="43"/>
      <c r="M886" s="43">
        <f>L886*K886</f>
        <v>0</v>
      </c>
      <c r="N886" s="35">
        <v>4607149400478</v>
      </c>
    </row>
    <row r="887" spans="1:14" ht="36" customHeight="1" outlineLevel="3" x14ac:dyDescent="0.2">
      <c r="A887" s="36" t="s">
        <v>1086</v>
      </c>
      <c r="B887" s="37" t="str">
        <f>HYPERLINK("http://www.sedek.ru/upload/iblock/bdc/morkov_nanka_f1.jpg","фото")</f>
        <v>фото</v>
      </c>
      <c r="C887" s="38"/>
      <c r="D887" s="38"/>
      <c r="E887" s="39"/>
      <c r="F887" s="39" t="s">
        <v>1087</v>
      </c>
      <c r="G887" s="40">
        <v>200</v>
      </c>
      <c r="H887" s="39" t="s">
        <v>307</v>
      </c>
      <c r="I887" s="39" t="s">
        <v>102</v>
      </c>
      <c r="J887" s="41">
        <v>2000</v>
      </c>
      <c r="K887" s="42">
        <v>26.3</v>
      </c>
      <c r="L887" s="43"/>
      <c r="M887" s="43">
        <f>L887*K887</f>
        <v>0</v>
      </c>
      <c r="N887" s="35">
        <v>4690368031394</v>
      </c>
    </row>
    <row r="888" spans="1:14" ht="36" customHeight="1" outlineLevel="3" x14ac:dyDescent="0.2">
      <c r="A888" s="45">
        <v>14568</v>
      </c>
      <c r="B888" s="37" t="str">
        <f>HYPERLINK("http://sedek.ru/upload/iblock/0b5/morkov_nanteze.jpg","фото")</f>
        <v>фото</v>
      </c>
      <c r="C888" s="38"/>
      <c r="D888" s="38"/>
      <c r="E888" s="39"/>
      <c r="F888" s="39" t="s">
        <v>1088</v>
      </c>
      <c r="G888" s="40">
        <v>2</v>
      </c>
      <c r="H888" s="39" t="s">
        <v>101</v>
      </c>
      <c r="I888" s="39" t="s">
        <v>102</v>
      </c>
      <c r="J888" s="41">
        <v>2000</v>
      </c>
      <c r="K888" s="42">
        <v>20</v>
      </c>
      <c r="L888" s="43"/>
      <c r="M888" s="43">
        <f>L888*K888</f>
        <v>0</v>
      </c>
      <c r="N888" s="35">
        <v>4607149400904</v>
      </c>
    </row>
    <row r="889" spans="1:14" ht="36" customHeight="1" outlineLevel="3" x14ac:dyDescent="0.2">
      <c r="A889" s="45">
        <v>14568</v>
      </c>
      <c r="B889" s="37" t="str">
        <f>HYPERLINK("http://sedek.ru/upload/iblock/0b5/morkov_nanteze.jpg","фото")</f>
        <v>фото</v>
      </c>
      <c r="C889" s="38"/>
      <c r="D889" s="38"/>
      <c r="E889" s="39"/>
      <c r="F889" s="39" t="s">
        <v>1089</v>
      </c>
      <c r="G889" s="40">
        <v>2</v>
      </c>
      <c r="H889" s="39" t="s">
        <v>101</v>
      </c>
      <c r="I889" s="39" t="s">
        <v>287</v>
      </c>
      <c r="J889" s="41">
        <v>2000</v>
      </c>
      <c r="K889" s="42">
        <v>9.6</v>
      </c>
      <c r="L889" s="43"/>
      <c r="M889" s="43">
        <f>L889*K889</f>
        <v>0</v>
      </c>
      <c r="N889" s="35">
        <v>4607149405541</v>
      </c>
    </row>
    <row r="890" spans="1:14" ht="36" customHeight="1" outlineLevel="3" x14ac:dyDescent="0.2">
      <c r="A890" s="36" t="s">
        <v>1090</v>
      </c>
      <c r="B890" s="37" t="str">
        <f>HYPERLINK("http://www.sedek.ru/upload/iblock/bdc/morkov_nanka_f1.jpg","фото")</f>
        <v>фото</v>
      </c>
      <c r="C890" s="38"/>
      <c r="D890" s="38"/>
      <c r="E890" s="39"/>
      <c r="F890" s="39" t="s">
        <v>1091</v>
      </c>
      <c r="G890" s="40">
        <v>200</v>
      </c>
      <c r="H890" s="39" t="s">
        <v>101</v>
      </c>
      <c r="I890" s="39" t="s">
        <v>102</v>
      </c>
      <c r="J890" s="41">
        <v>2000</v>
      </c>
      <c r="K890" s="42">
        <v>26.3</v>
      </c>
      <c r="L890" s="43"/>
      <c r="M890" s="43">
        <f>L890*K890</f>
        <v>0</v>
      </c>
      <c r="N890" s="35">
        <v>4690368037303</v>
      </c>
    </row>
    <row r="891" spans="1:14" ht="36" customHeight="1" outlineLevel="3" x14ac:dyDescent="0.2">
      <c r="A891" s="45">
        <v>13614</v>
      </c>
      <c r="B891" s="37" t="str">
        <f>HYPERLINK("http://sedek.ru/upload/iblock/5dd/morkov_nantskaya_4.jpg","фото")</f>
        <v>фото</v>
      </c>
      <c r="C891" s="38"/>
      <c r="D891" s="38"/>
      <c r="E891" s="39"/>
      <c r="F891" s="39" t="s">
        <v>1092</v>
      </c>
      <c r="G891" s="40">
        <v>2</v>
      </c>
      <c r="H891" s="39" t="s">
        <v>101</v>
      </c>
      <c r="I891" s="39" t="s">
        <v>102</v>
      </c>
      <c r="J891" s="41">
        <v>2000</v>
      </c>
      <c r="K891" s="42">
        <v>16.899999999999999</v>
      </c>
      <c r="L891" s="43"/>
      <c r="M891" s="43">
        <f>L891*K891</f>
        <v>0</v>
      </c>
      <c r="N891" s="35">
        <v>4607149404568</v>
      </c>
    </row>
    <row r="892" spans="1:14" ht="36" customHeight="1" outlineLevel="3" x14ac:dyDescent="0.2">
      <c r="A892" s="45">
        <v>13614</v>
      </c>
      <c r="B892" s="37" t="str">
        <f>HYPERLINK("http://sedek.ru/upload/iblock/5dd/morkov_nantskaya_4.jpg","фото")</f>
        <v>фото</v>
      </c>
      <c r="C892" s="38"/>
      <c r="D892" s="38"/>
      <c r="E892" s="39"/>
      <c r="F892" s="39" t="s">
        <v>1093</v>
      </c>
      <c r="G892" s="40">
        <v>2</v>
      </c>
      <c r="H892" s="39" t="s">
        <v>101</v>
      </c>
      <c r="I892" s="39" t="s">
        <v>287</v>
      </c>
      <c r="J892" s="41">
        <v>2000</v>
      </c>
      <c r="K892" s="42">
        <v>6.5</v>
      </c>
      <c r="L892" s="43"/>
      <c r="M892" s="43">
        <f>L892*K892</f>
        <v>0</v>
      </c>
      <c r="N892" s="35">
        <v>4607149405558</v>
      </c>
    </row>
    <row r="893" spans="1:14" ht="36" customHeight="1" outlineLevel="3" x14ac:dyDescent="0.2">
      <c r="A893" s="45">
        <v>13586</v>
      </c>
      <c r="B893" s="37" t="str">
        <f>HYPERLINK("http://sedek.ru/upload/iblock/b65/morkov_nantskaya_uluchshennaya.jpg","фото")</f>
        <v>фото</v>
      </c>
      <c r="C893" s="38"/>
      <c r="D893" s="38"/>
      <c r="E893" s="39"/>
      <c r="F893" s="39" t="s">
        <v>1094</v>
      </c>
      <c r="G893" s="40">
        <v>2</v>
      </c>
      <c r="H893" s="39" t="s">
        <v>101</v>
      </c>
      <c r="I893" s="39" t="s">
        <v>102</v>
      </c>
      <c r="J893" s="41">
        <v>2000</v>
      </c>
      <c r="K893" s="42">
        <v>18.8</v>
      </c>
      <c r="L893" s="43"/>
      <c r="M893" s="43">
        <f>L893*K893</f>
        <v>0</v>
      </c>
      <c r="N893" s="35">
        <v>4607015187625</v>
      </c>
    </row>
    <row r="894" spans="1:14" ht="36" customHeight="1" outlineLevel="3" x14ac:dyDescent="0.2">
      <c r="A894" s="36" t="s">
        <v>1095</v>
      </c>
      <c r="B894" s="37" t="str">
        <f>HYPERLINK("http://sedek.ru/upload/iblock/430/morkov_naturgor.jpg","фото")</f>
        <v>фото</v>
      </c>
      <c r="C894" s="38"/>
      <c r="D894" s="38"/>
      <c r="E894" s="39"/>
      <c r="F894" s="39" t="s">
        <v>1096</v>
      </c>
      <c r="G894" s="44">
        <v>0.3</v>
      </c>
      <c r="H894" s="39" t="s">
        <v>101</v>
      </c>
      <c r="I894" s="39" t="s">
        <v>102</v>
      </c>
      <c r="J894" s="41">
        <v>2000</v>
      </c>
      <c r="K894" s="42">
        <v>21.4</v>
      </c>
      <c r="L894" s="43"/>
      <c r="M894" s="43">
        <f>L894*K894</f>
        <v>0</v>
      </c>
      <c r="N894" s="35">
        <v>4690368026468</v>
      </c>
    </row>
    <row r="895" spans="1:14" ht="36" customHeight="1" outlineLevel="3" x14ac:dyDescent="0.2">
      <c r="A895" s="45">
        <v>14062</v>
      </c>
      <c r="B895" s="37" t="str">
        <f>HYPERLINK("http://sedek.ru/upload/iblock/c74/morkov_nelya_f1.jpg","фото")</f>
        <v>фото</v>
      </c>
      <c r="C895" s="38"/>
      <c r="D895" s="38"/>
      <c r="E895" s="39"/>
      <c r="F895" s="39" t="s">
        <v>1097</v>
      </c>
      <c r="G895" s="40">
        <v>2</v>
      </c>
      <c r="H895" s="39" t="s">
        <v>101</v>
      </c>
      <c r="I895" s="39" t="s">
        <v>102</v>
      </c>
      <c r="J895" s="41">
        <v>2000</v>
      </c>
      <c r="K895" s="42">
        <v>20.100000000000001</v>
      </c>
      <c r="L895" s="43"/>
      <c r="M895" s="43">
        <f>L895*K895</f>
        <v>0</v>
      </c>
      <c r="N895" s="35">
        <v>4607015187649</v>
      </c>
    </row>
    <row r="896" spans="1:14" ht="36" customHeight="1" outlineLevel="3" x14ac:dyDescent="0.2">
      <c r="A896" s="45">
        <v>15714</v>
      </c>
      <c r="B896" s="37" t="str">
        <f>HYPERLINK("http://sedek.ru/upload/iblock/167/morkov_osenniy_korol.jpg","фото")</f>
        <v>фото</v>
      </c>
      <c r="C896" s="38"/>
      <c r="D896" s="38"/>
      <c r="E896" s="39"/>
      <c r="F896" s="39" t="s">
        <v>1098</v>
      </c>
      <c r="G896" s="40">
        <v>2</v>
      </c>
      <c r="H896" s="39" t="s">
        <v>101</v>
      </c>
      <c r="I896" s="39" t="s">
        <v>102</v>
      </c>
      <c r="J896" s="41">
        <v>2000</v>
      </c>
      <c r="K896" s="42">
        <v>22.6</v>
      </c>
      <c r="L896" s="43"/>
      <c r="M896" s="43">
        <f>L896*K896</f>
        <v>0</v>
      </c>
      <c r="N896" s="35">
        <v>4607015187656</v>
      </c>
    </row>
    <row r="897" spans="1:14" ht="36" customHeight="1" outlineLevel="3" x14ac:dyDescent="0.2">
      <c r="A897" s="45">
        <v>15714</v>
      </c>
      <c r="B897" s="37" t="str">
        <f>HYPERLINK("http://sedek.ru/upload/iblock/167/morkov_osenniy_korol.jpg","фото")</f>
        <v>фото</v>
      </c>
      <c r="C897" s="38"/>
      <c r="D897" s="38"/>
      <c r="E897" s="39"/>
      <c r="F897" s="39" t="s">
        <v>1099</v>
      </c>
      <c r="G897" s="40">
        <v>2</v>
      </c>
      <c r="H897" s="39" t="s">
        <v>101</v>
      </c>
      <c r="I897" s="39" t="s">
        <v>287</v>
      </c>
      <c r="J897" s="41">
        <v>2000</v>
      </c>
      <c r="K897" s="42">
        <v>8.1</v>
      </c>
      <c r="L897" s="43"/>
      <c r="M897" s="43">
        <f>L897*K897</f>
        <v>0</v>
      </c>
      <c r="N897" s="35">
        <v>4607149408962</v>
      </c>
    </row>
    <row r="898" spans="1:14" ht="36" customHeight="1" outlineLevel="3" x14ac:dyDescent="0.2">
      <c r="A898" s="45">
        <v>14886</v>
      </c>
      <c r="B898" s="37" t="str">
        <f>HYPERLINK("http://sedek.ru/upload/iblock/21d/morkov_pervyy_sbor.jpg","фото")</f>
        <v>фото</v>
      </c>
      <c r="C898" s="38"/>
      <c r="D898" s="38"/>
      <c r="E898" s="39"/>
      <c r="F898" s="39" t="s">
        <v>1100</v>
      </c>
      <c r="G898" s="40">
        <v>2</v>
      </c>
      <c r="H898" s="39" t="s">
        <v>101</v>
      </c>
      <c r="I898" s="39" t="s">
        <v>287</v>
      </c>
      <c r="J898" s="41">
        <v>2000</v>
      </c>
      <c r="K898" s="42">
        <v>10.3</v>
      </c>
      <c r="L898" s="43"/>
      <c r="M898" s="43">
        <f>L898*K898</f>
        <v>0</v>
      </c>
      <c r="N898" s="35">
        <v>4690368004589</v>
      </c>
    </row>
    <row r="899" spans="1:14" ht="36" customHeight="1" outlineLevel="3" x14ac:dyDescent="0.2">
      <c r="A899" s="46">
        <v>16116</v>
      </c>
      <c r="B899" s="47" t="str">
        <f>HYPERLINK("http://sedek.ru/upload/iblock/29c/morkov_perfektsiya.jpg","фото")</f>
        <v>фото</v>
      </c>
      <c r="C899" s="48"/>
      <c r="D899" s="48"/>
      <c r="E899" s="49"/>
      <c r="F899" s="49" t="s">
        <v>1101</v>
      </c>
      <c r="G899" s="50">
        <v>2</v>
      </c>
      <c r="H899" s="49" t="s">
        <v>101</v>
      </c>
      <c r="I899" s="49" t="s">
        <v>102</v>
      </c>
      <c r="J899" s="51">
        <v>2000</v>
      </c>
      <c r="K899" s="52">
        <v>19</v>
      </c>
      <c r="L899" s="53"/>
      <c r="M899" s="53">
        <f>L899*K899</f>
        <v>0</v>
      </c>
      <c r="N899" s="35">
        <v>4607015187687</v>
      </c>
    </row>
    <row r="900" spans="1:14" ht="24" customHeight="1" outlineLevel="3" x14ac:dyDescent="0.2">
      <c r="A900" s="45">
        <v>16086</v>
      </c>
      <c r="B900" s="37" t="str">
        <f>HYPERLINK("http://sedek.ru/upload/iblock/079/morkov_podruga_f1.JPG","фото")</f>
        <v>фото</v>
      </c>
      <c r="C900" s="38"/>
      <c r="D900" s="38"/>
      <c r="E900" s="39"/>
      <c r="F900" s="39" t="s">
        <v>1102</v>
      </c>
      <c r="G900" s="40">
        <v>1</v>
      </c>
      <c r="H900" s="39" t="s">
        <v>101</v>
      </c>
      <c r="I900" s="39" t="s">
        <v>102</v>
      </c>
      <c r="J900" s="41">
        <v>2000</v>
      </c>
      <c r="K900" s="42">
        <v>25.3</v>
      </c>
      <c r="L900" s="43"/>
      <c r="M900" s="43">
        <f>L900*K900</f>
        <v>0</v>
      </c>
      <c r="N900" s="35">
        <v>4607149404582</v>
      </c>
    </row>
    <row r="901" spans="1:14" ht="36" customHeight="1" outlineLevel="3" x14ac:dyDescent="0.2">
      <c r="A901" s="45">
        <v>14195</v>
      </c>
      <c r="B901" s="37" t="str">
        <f>HYPERLINK("http://sedek.ru/upload/iblock/358/morkov_produko.jpg","фото")</f>
        <v>фото</v>
      </c>
      <c r="C901" s="38"/>
      <c r="D901" s="38"/>
      <c r="E901" s="39"/>
      <c r="F901" s="39" t="s">
        <v>1103</v>
      </c>
      <c r="G901" s="40">
        <v>2</v>
      </c>
      <c r="H901" s="39" t="s">
        <v>101</v>
      </c>
      <c r="I901" s="39" t="s">
        <v>102</v>
      </c>
      <c r="J901" s="41">
        <v>2000</v>
      </c>
      <c r="K901" s="42">
        <v>20.8</v>
      </c>
      <c r="L901" s="43"/>
      <c r="M901" s="43">
        <f>L901*K901</f>
        <v>0</v>
      </c>
      <c r="N901" s="35">
        <v>4607015187694</v>
      </c>
    </row>
    <row r="902" spans="1:14" ht="36" customHeight="1" outlineLevel="3" x14ac:dyDescent="0.2">
      <c r="A902" s="45">
        <v>14195</v>
      </c>
      <c r="B902" s="37" t="str">
        <f>HYPERLINK("http://sedek.ru/upload/iblock/358/morkov_produko.jpg","фото")</f>
        <v>фото</v>
      </c>
      <c r="C902" s="38"/>
      <c r="D902" s="38"/>
      <c r="E902" s="39"/>
      <c r="F902" s="39" t="s">
        <v>1104</v>
      </c>
      <c r="G902" s="40">
        <v>2</v>
      </c>
      <c r="H902" s="39" t="s">
        <v>101</v>
      </c>
      <c r="I902" s="39" t="s">
        <v>287</v>
      </c>
      <c r="J902" s="41">
        <v>2000</v>
      </c>
      <c r="K902" s="42">
        <v>10.3</v>
      </c>
      <c r="L902" s="43"/>
      <c r="M902" s="43">
        <f>L902*K902</f>
        <v>0</v>
      </c>
      <c r="N902" s="35">
        <v>4690368005043</v>
      </c>
    </row>
    <row r="903" spans="1:14" ht="36" customHeight="1" outlineLevel="3" x14ac:dyDescent="0.2">
      <c r="A903" s="45">
        <v>15586</v>
      </c>
      <c r="B903" s="37" t="str">
        <f>HYPERLINK("http://sedek.ru/upload/iblock/b3d/morkov_puchkovaya.jpg","фото")</f>
        <v>фото</v>
      </c>
      <c r="C903" s="38"/>
      <c r="D903" s="38"/>
      <c r="E903" s="39"/>
      <c r="F903" s="39" t="s">
        <v>1105</v>
      </c>
      <c r="G903" s="40">
        <v>2</v>
      </c>
      <c r="H903" s="39" t="s">
        <v>101</v>
      </c>
      <c r="I903" s="39" t="s">
        <v>102</v>
      </c>
      <c r="J903" s="41">
        <v>2000</v>
      </c>
      <c r="K903" s="42">
        <v>20.5</v>
      </c>
      <c r="L903" s="43"/>
      <c r="M903" s="43">
        <f>L903*K903</f>
        <v>0</v>
      </c>
      <c r="N903" s="35">
        <v>4607149404551</v>
      </c>
    </row>
    <row r="904" spans="1:14" ht="36" customHeight="1" outlineLevel="3" x14ac:dyDescent="0.2">
      <c r="A904" s="36" t="s">
        <v>1106</v>
      </c>
      <c r="B904" s="37" t="str">
        <f>HYPERLINK("http://www.sedek.ru/upload/iblock/688/morkov_red_kor.jpg","фото")</f>
        <v>фото</v>
      </c>
      <c r="C904" s="38"/>
      <c r="D904" s="38"/>
      <c r="E904" s="39"/>
      <c r="F904" s="39" t="s">
        <v>1107</v>
      </c>
      <c r="G904" s="40">
        <v>2</v>
      </c>
      <c r="H904" s="39" t="s">
        <v>101</v>
      </c>
      <c r="I904" s="39" t="s">
        <v>102</v>
      </c>
      <c r="J904" s="41">
        <v>2000</v>
      </c>
      <c r="K904" s="42">
        <v>20.5</v>
      </c>
      <c r="L904" s="43"/>
      <c r="M904" s="43">
        <f>L904*K904</f>
        <v>0</v>
      </c>
      <c r="N904" s="35">
        <v>4690368032766</v>
      </c>
    </row>
    <row r="905" spans="1:14" ht="24" customHeight="1" outlineLevel="3" x14ac:dyDescent="0.2">
      <c r="A905" s="45">
        <v>14555</v>
      </c>
      <c r="B905" s="37" t="str">
        <f>HYPERLINK("http://sedek.ru/upload/iblock/cec/morkov_royal_forto.jpg","фото")</f>
        <v>фото</v>
      </c>
      <c r="C905" s="38"/>
      <c r="D905" s="38"/>
      <c r="E905" s="39"/>
      <c r="F905" s="39" t="s">
        <v>1108</v>
      </c>
      <c r="G905" s="44">
        <v>0.5</v>
      </c>
      <c r="H905" s="39" t="s">
        <v>101</v>
      </c>
      <c r="I905" s="39" t="s">
        <v>102</v>
      </c>
      <c r="J905" s="41">
        <v>2000</v>
      </c>
      <c r="K905" s="42">
        <v>20.5</v>
      </c>
      <c r="L905" s="43"/>
      <c r="M905" s="43">
        <f>L905*K905</f>
        <v>0</v>
      </c>
      <c r="N905" s="35">
        <v>4690368008853</v>
      </c>
    </row>
    <row r="906" spans="1:14" ht="24" customHeight="1" outlineLevel="3" x14ac:dyDescent="0.2">
      <c r="A906" s="36" t="s">
        <v>1109</v>
      </c>
      <c r="B906" s="37" t="str">
        <f>HYPERLINK("http://sedek.ru/upload/iblock/df0/morkov_rote_rizen.jpg","фото")</f>
        <v>фото</v>
      </c>
      <c r="C906" s="38"/>
      <c r="D906" s="38"/>
      <c r="E906" s="39"/>
      <c r="F906" s="39" t="s">
        <v>1110</v>
      </c>
      <c r="G906" s="40">
        <v>2</v>
      </c>
      <c r="H906" s="39"/>
      <c r="I906" s="39" t="s">
        <v>102</v>
      </c>
      <c r="J906" s="41">
        <v>2000</v>
      </c>
      <c r="K906" s="42">
        <v>15.6</v>
      </c>
      <c r="L906" s="43"/>
      <c r="M906" s="43">
        <f>L906*K906</f>
        <v>0</v>
      </c>
      <c r="N906" s="35">
        <v>4690368028561</v>
      </c>
    </row>
    <row r="907" spans="1:14" ht="36" customHeight="1" outlineLevel="3" x14ac:dyDescent="0.2">
      <c r="A907" s="45">
        <v>14753</v>
      </c>
      <c r="B907" s="37" t="str">
        <f>HYPERLINK("http://sedek.ru/upload/iblock/211/morkov_samson.JPG","фото")</f>
        <v>фото</v>
      </c>
      <c r="C907" s="38"/>
      <c r="D907" s="38"/>
      <c r="E907" s="39"/>
      <c r="F907" s="39" t="s">
        <v>1111</v>
      </c>
      <c r="G907" s="44">
        <v>0.5</v>
      </c>
      <c r="H907" s="39" t="s">
        <v>101</v>
      </c>
      <c r="I907" s="39" t="s">
        <v>102</v>
      </c>
      <c r="J907" s="41">
        <v>2000</v>
      </c>
      <c r="K907" s="42">
        <v>23.3</v>
      </c>
      <c r="L907" s="43"/>
      <c r="M907" s="43">
        <f>L907*K907</f>
        <v>0</v>
      </c>
      <c r="N907" s="35">
        <v>4607149400485</v>
      </c>
    </row>
    <row r="908" spans="1:14" ht="36" customHeight="1" outlineLevel="3" x14ac:dyDescent="0.2">
      <c r="A908" s="45">
        <v>15069</v>
      </c>
      <c r="B908" s="37" t="str">
        <f>HYPERLINK("http://sedek.ru/upload/iblock/966/morkov_svekrov_f1.JPG","фото")</f>
        <v>фото</v>
      </c>
      <c r="C908" s="38"/>
      <c r="D908" s="38"/>
      <c r="E908" s="39"/>
      <c r="F908" s="39" t="s">
        <v>1112</v>
      </c>
      <c r="G908" s="40">
        <v>2</v>
      </c>
      <c r="H908" s="39"/>
      <c r="I908" s="39" t="s">
        <v>102</v>
      </c>
      <c r="J908" s="41">
        <v>2000</v>
      </c>
      <c r="K908" s="42">
        <v>25.3</v>
      </c>
      <c r="L908" s="43"/>
      <c r="M908" s="43">
        <f>L908*K908</f>
        <v>0</v>
      </c>
      <c r="N908" s="35">
        <v>4607149404605</v>
      </c>
    </row>
    <row r="909" spans="1:14" ht="36" customHeight="1" outlineLevel="3" x14ac:dyDescent="0.2">
      <c r="A909" s="45">
        <v>15768</v>
      </c>
      <c r="B909" s="37" t="str">
        <f>HYPERLINK("http://sedek.ru/upload/iblock/158/morkov_sem_krasavits_smes_luchshikh_sortov.jpg","фото")</f>
        <v>фото</v>
      </c>
      <c r="C909" s="38"/>
      <c r="D909" s="38"/>
      <c r="E909" s="39"/>
      <c r="F909" s="39" t="s">
        <v>1113</v>
      </c>
      <c r="G909" s="40">
        <v>2</v>
      </c>
      <c r="H909" s="39" t="s">
        <v>101</v>
      </c>
      <c r="I909" s="39" t="s">
        <v>102</v>
      </c>
      <c r="J909" s="41">
        <v>2000</v>
      </c>
      <c r="K909" s="42">
        <v>20</v>
      </c>
      <c r="L909" s="43"/>
      <c r="M909" s="43">
        <f>L909*K909</f>
        <v>0</v>
      </c>
      <c r="N909" s="35">
        <v>4690368005807</v>
      </c>
    </row>
    <row r="910" spans="1:14" ht="36" customHeight="1" outlineLevel="3" x14ac:dyDescent="0.2">
      <c r="A910" s="45">
        <v>15768</v>
      </c>
      <c r="B910" s="37" t="str">
        <f>HYPERLINK("http://sedek.ru/upload/iblock/158/morkov_sem_krasavits_smes_luchshikh_sortov.jpg","фото")</f>
        <v>фото</v>
      </c>
      <c r="C910" s="38"/>
      <c r="D910" s="38"/>
      <c r="E910" s="39"/>
      <c r="F910" s="39" t="s">
        <v>1114</v>
      </c>
      <c r="G910" s="40">
        <v>2</v>
      </c>
      <c r="H910" s="39" t="s">
        <v>101</v>
      </c>
      <c r="I910" s="39" t="s">
        <v>287</v>
      </c>
      <c r="J910" s="41">
        <v>2000</v>
      </c>
      <c r="K910" s="42">
        <v>9.6</v>
      </c>
      <c r="L910" s="43"/>
      <c r="M910" s="43">
        <f>L910*K910</f>
        <v>0</v>
      </c>
      <c r="N910" s="35">
        <v>4690368008273</v>
      </c>
    </row>
    <row r="911" spans="1:14" ht="36" customHeight="1" outlineLevel="3" x14ac:dyDescent="0.2">
      <c r="A911" s="45">
        <v>16321</v>
      </c>
      <c r="B911" s="37" t="str">
        <f>HYPERLINK("http://sedek.ru/upload/iblock/4a3/morkov_sestra_f1.jpg","фото")</f>
        <v>фото</v>
      </c>
      <c r="C911" s="38"/>
      <c r="D911" s="38"/>
      <c r="E911" s="39"/>
      <c r="F911" s="39" t="s">
        <v>1115</v>
      </c>
      <c r="G911" s="40">
        <v>1</v>
      </c>
      <c r="H911" s="39"/>
      <c r="I911" s="39" t="s">
        <v>102</v>
      </c>
      <c r="J911" s="41">
        <v>2000</v>
      </c>
      <c r="K911" s="42">
        <v>25.3</v>
      </c>
      <c r="L911" s="43"/>
      <c r="M911" s="43">
        <f>L911*K911</f>
        <v>0</v>
      </c>
      <c r="N911" s="35">
        <v>4607149404629</v>
      </c>
    </row>
    <row r="912" spans="1:14" ht="36" customHeight="1" outlineLevel="3" x14ac:dyDescent="0.2">
      <c r="A912" s="46">
        <v>14128</v>
      </c>
      <c r="B912" s="47" t="str">
        <f>HYPERLINK("http://sedek.ru/upload/iblock/372/morkov_sladkaya_devochka.jpg","фото")</f>
        <v>фото</v>
      </c>
      <c r="C912" s="48"/>
      <c r="D912" s="48"/>
      <c r="E912" s="49"/>
      <c r="F912" s="49" t="s">
        <v>1116</v>
      </c>
      <c r="G912" s="50">
        <v>2</v>
      </c>
      <c r="H912" s="49"/>
      <c r="I912" s="49" t="s">
        <v>102</v>
      </c>
      <c r="J912" s="51">
        <v>2000</v>
      </c>
      <c r="K912" s="52">
        <v>19.8</v>
      </c>
      <c r="L912" s="53"/>
      <c r="M912" s="53">
        <f>L912*K912</f>
        <v>0</v>
      </c>
      <c r="N912" s="35">
        <v>4607149404599</v>
      </c>
    </row>
    <row r="913" spans="1:14" ht="36" customHeight="1" outlineLevel="3" x14ac:dyDescent="0.2">
      <c r="A913" s="45">
        <v>13963</v>
      </c>
      <c r="B913" s="37" t="str">
        <f>HYPERLINK("http://www.sedek.ru/upload/iblock/725/morkov_tyeshcha_f1.jpg","фото")</f>
        <v>фото</v>
      </c>
      <c r="C913" s="38"/>
      <c r="D913" s="38"/>
      <c r="E913" s="39"/>
      <c r="F913" s="39" t="s">
        <v>1117</v>
      </c>
      <c r="G913" s="40">
        <v>1</v>
      </c>
      <c r="H913" s="39" t="s">
        <v>101</v>
      </c>
      <c r="I913" s="39" t="s">
        <v>102</v>
      </c>
      <c r="J913" s="41">
        <v>2000</v>
      </c>
      <c r="K913" s="42">
        <v>25.3</v>
      </c>
      <c r="L913" s="43"/>
      <c r="M913" s="43">
        <f>L913*K913</f>
        <v>0</v>
      </c>
      <c r="N913" s="35">
        <v>4607149404636</v>
      </c>
    </row>
    <row r="914" spans="1:14" ht="36" customHeight="1" outlineLevel="3" x14ac:dyDescent="0.2">
      <c r="A914" s="45">
        <v>13963</v>
      </c>
      <c r="B914" s="37" t="str">
        <f>HYPERLINK("http://www.sedek.ru/upload/iblock/725/morkov_tyeshcha_f1.jpg","фото")</f>
        <v>фото</v>
      </c>
      <c r="C914" s="38"/>
      <c r="D914" s="38"/>
      <c r="E914" s="39"/>
      <c r="F914" s="39" t="s">
        <v>1118</v>
      </c>
      <c r="G914" s="40">
        <v>2</v>
      </c>
      <c r="H914" s="39" t="s">
        <v>101</v>
      </c>
      <c r="I914" s="39" t="s">
        <v>102</v>
      </c>
      <c r="J914" s="41">
        <v>2000</v>
      </c>
      <c r="K914" s="42">
        <v>25.3</v>
      </c>
      <c r="L914" s="43"/>
      <c r="M914" s="43">
        <f>L914*K914</f>
        <v>0</v>
      </c>
      <c r="N914" s="35">
        <v>4607149404636</v>
      </c>
    </row>
    <row r="915" spans="1:14" ht="36" customHeight="1" outlineLevel="3" x14ac:dyDescent="0.2">
      <c r="A915" s="45">
        <v>16829</v>
      </c>
      <c r="B915" s="37" t="str">
        <f>HYPERLINK("http://www.sedek.ru/upload/iblock/725/morkov_tyeshcha_f1.jpg","фото")</f>
        <v>фото</v>
      </c>
      <c r="C915" s="38"/>
      <c r="D915" s="38"/>
      <c r="E915" s="39"/>
      <c r="F915" s="39" t="s">
        <v>1119</v>
      </c>
      <c r="G915" s="40">
        <v>100</v>
      </c>
      <c r="H915" s="39" t="s">
        <v>307</v>
      </c>
      <c r="I915" s="39" t="s">
        <v>102</v>
      </c>
      <c r="J915" s="41">
        <v>2000</v>
      </c>
      <c r="K915" s="42">
        <v>26.3</v>
      </c>
      <c r="L915" s="43"/>
      <c r="M915" s="43">
        <f>L915*K915</f>
        <v>0</v>
      </c>
      <c r="N915" s="35">
        <v>4690368021197</v>
      </c>
    </row>
    <row r="916" spans="1:14" ht="24" customHeight="1" outlineLevel="3" x14ac:dyDescent="0.2">
      <c r="A916" s="45">
        <v>14049</v>
      </c>
      <c r="B916" s="37" t="str">
        <f>HYPERLINK("http://www.sedek.ru/upload/iblock/348/morkov_flakoro.jpg","фото")</f>
        <v>фото</v>
      </c>
      <c r="C916" s="38"/>
      <c r="D916" s="38"/>
      <c r="E916" s="39"/>
      <c r="F916" s="39" t="s">
        <v>1120</v>
      </c>
      <c r="G916" s="40">
        <v>2</v>
      </c>
      <c r="H916" s="39" t="s">
        <v>101</v>
      </c>
      <c r="I916" s="39" t="s">
        <v>102</v>
      </c>
      <c r="J916" s="41">
        <v>2000</v>
      </c>
      <c r="K916" s="42">
        <v>20.5</v>
      </c>
      <c r="L916" s="43"/>
      <c r="M916" s="43">
        <f>L916*K916</f>
        <v>0</v>
      </c>
      <c r="N916" s="35">
        <v>4607015187717</v>
      </c>
    </row>
    <row r="917" spans="1:14" ht="24" customHeight="1" outlineLevel="3" x14ac:dyDescent="0.2">
      <c r="A917" s="45">
        <v>14049</v>
      </c>
      <c r="B917" s="37" t="str">
        <f>HYPERLINK("http://www.sedek.ru/upload/iblock/348/morkov_flakoro.jpg","фото")</f>
        <v>фото</v>
      </c>
      <c r="C917" s="38"/>
      <c r="D917" s="38"/>
      <c r="E917" s="39"/>
      <c r="F917" s="39" t="s">
        <v>1121</v>
      </c>
      <c r="G917" s="40">
        <v>2</v>
      </c>
      <c r="H917" s="39" t="s">
        <v>101</v>
      </c>
      <c r="I917" s="39" t="s">
        <v>287</v>
      </c>
      <c r="J917" s="41">
        <v>2000</v>
      </c>
      <c r="K917" s="42">
        <v>8.5</v>
      </c>
      <c r="L917" s="43"/>
      <c r="M917" s="43">
        <f>L917*K917</f>
        <v>0</v>
      </c>
      <c r="N917" s="35">
        <v>4607149402830</v>
      </c>
    </row>
    <row r="918" spans="1:14" ht="24" customHeight="1" outlineLevel="3" x14ac:dyDescent="0.2">
      <c r="A918" s="46">
        <v>16117</v>
      </c>
      <c r="B918" s="47" t="str">
        <f>HYPERLINK("http://sedek.ru/upload/iblock/263/morkov_forto.jpg","фото")</f>
        <v>фото</v>
      </c>
      <c r="C918" s="48"/>
      <c r="D918" s="48"/>
      <c r="E918" s="49"/>
      <c r="F918" s="49" t="s">
        <v>1122</v>
      </c>
      <c r="G918" s="50">
        <v>2</v>
      </c>
      <c r="H918" s="49" t="s">
        <v>101</v>
      </c>
      <c r="I918" s="49" t="s">
        <v>102</v>
      </c>
      <c r="J918" s="51">
        <v>2000</v>
      </c>
      <c r="K918" s="52">
        <v>18.3</v>
      </c>
      <c r="L918" s="53"/>
      <c r="M918" s="53">
        <f>L918*K918</f>
        <v>0</v>
      </c>
      <c r="N918" s="35">
        <v>4607015187724</v>
      </c>
    </row>
    <row r="919" spans="1:14" ht="24" customHeight="1" outlineLevel="3" x14ac:dyDescent="0.2">
      <c r="A919" s="45">
        <v>15798</v>
      </c>
      <c r="B919" s="37" t="str">
        <f>HYPERLINK("http://sedek.ru/upload/iblock/d00/morkov_kholidey_f1.jpg","фото")</f>
        <v>фото</v>
      </c>
      <c r="C919" s="38"/>
      <c r="D919" s="38"/>
      <c r="E919" s="39"/>
      <c r="F919" s="39" t="s">
        <v>1123</v>
      </c>
      <c r="G919" s="40">
        <v>2</v>
      </c>
      <c r="H919" s="39" t="s">
        <v>101</v>
      </c>
      <c r="I919" s="39" t="s">
        <v>102</v>
      </c>
      <c r="J919" s="41">
        <v>2000</v>
      </c>
      <c r="K919" s="42">
        <v>20.5</v>
      </c>
      <c r="L919" s="43"/>
      <c r="M919" s="43">
        <f>L919*K919</f>
        <v>0</v>
      </c>
      <c r="N919" s="35">
        <v>4607116267363</v>
      </c>
    </row>
    <row r="920" spans="1:14" ht="24" customHeight="1" outlineLevel="3" x14ac:dyDescent="0.2">
      <c r="A920" s="45">
        <v>16178</v>
      </c>
      <c r="B920" s="37" t="str">
        <f>HYPERLINK("http://www.sedek.ru/upload/iblock/631/morkov_khrusta.jpg","фото")</f>
        <v>фото</v>
      </c>
      <c r="C920" s="38"/>
      <c r="D920" s="38"/>
      <c r="E920" s="39"/>
      <c r="F920" s="39" t="s">
        <v>1124</v>
      </c>
      <c r="G920" s="40">
        <v>2</v>
      </c>
      <c r="H920" s="39" t="s">
        <v>101</v>
      </c>
      <c r="I920" s="39" t="s">
        <v>102</v>
      </c>
      <c r="J920" s="41">
        <v>2000</v>
      </c>
      <c r="K920" s="42">
        <v>20.5</v>
      </c>
      <c r="L920" s="43"/>
      <c r="M920" s="43">
        <f>L920*K920</f>
        <v>0</v>
      </c>
      <c r="N920" s="35">
        <v>4690368022446</v>
      </c>
    </row>
    <row r="921" spans="1:14" ht="24" customHeight="1" outlineLevel="3" x14ac:dyDescent="0.2">
      <c r="A921" s="45">
        <v>16410</v>
      </c>
      <c r="B921" s="37" t="str">
        <f>HYPERLINK("http://sedek.ru/upload/iblock/a45/morkov_khrustyashka.jpg","фото")</f>
        <v>фото</v>
      </c>
      <c r="C921" s="38"/>
      <c r="D921" s="38"/>
      <c r="E921" s="39"/>
      <c r="F921" s="39" t="s">
        <v>1125</v>
      </c>
      <c r="G921" s="40">
        <v>2</v>
      </c>
      <c r="H921" s="39" t="s">
        <v>101</v>
      </c>
      <c r="I921" s="39" t="s">
        <v>102</v>
      </c>
      <c r="J921" s="41">
        <v>2000</v>
      </c>
      <c r="K921" s="42">
        <v>20.8</v>
      </c>
      <c r="L921" s="43"/>
      <c r="M921" s="43">
        <f>L921*K921</f>
        <v>0</v>
      </c>
      <c r="N921" s="35">
        <v>4607149404612</v>
      </c>
    </row>
    <row r="922" spans="1:14" ht="24" customHeight="1" outlineLevel="3" x14ac:dyDescent="0.2">
      <c r="A922" s="45">
        <v>14122</v>
      </c>
      <c r="B922" s="37" t="str">
        <f>HYPERLINK("http://sedek.ru/upload/iblock/2d8/morkov_charovnitsa.jpg","фото")</f>
        <v>фото</v>
      </c>
      <c r="C922" s="38"/>
      <c r="D922" s="38"/>
      <c r="E922" s="39"/>
      <c r="F922" s="39" t="s">
        <v>1126</v>
      </c>
      <c r="G922" s="40">
        <v>2</v>
      </c>
      <c r="H922" s="39" t="s">
        <v>101</v>
      </c>
      <c r="I922" s="39" t="s">
        <v>102</v>
      </c>
      <c r="J922" s="41">
        <v>2000</v>
      </c>
      <c r="K922" s="42">
        <v>20.8</v>
      </c>
      <c r="L922" s="43"/>
      <c r="M922" s="43">
        <f>L922*K922</f>
        <v>0</v>
      </c>
      <c r="N922" s="35">
        <v>4690368007382</v>
      </c>
    </row>
    <row r="923" spans="1:14" ht="36" customHeight="1" outlineLevel="3" x14ac:dyDescent="0.2">
      <c r="A923" s="36" t="s">
        <v>1127</v>
      </c>
      <c r="B923" s="37" t="str">
        <f>HYPERLINK("http://www.sedek.ru/upload/iblock/dc0/morkov_charovnitsa_zolotaya.jpg","фото")</f>
        <v>фото</v>
      </c>
      <c r="C923" s="38" t="s">
        <v>266</v>
      </c>
      <c r="D923" s="38"/>
      <c r="E923" s="39"/>
      <c r="F923" s="39" t="s">
        <v>1128</v>
      </c>
      <c r="G923" s="44">
        <v>0.1</v>
      </c>
      <c r="H923" s="39" t="s">
        <v>101</v>
      </c>
      <c r="I923" s="39" t="s">
        <v>102</v>
      </c>
      <c r="J923" s="41">
        <v>2000</v>
      </c>
      <c r="K923" s="42">
        <v>39.4</v>
      </c>
      <c r="L923" s="43"/>
      <c r="M923" s="43">
        <f>L923*K923</f>
        <v>0</v>
      </c>
      <c r="N923" s="35">
        <v>4690368037396</v>
      </c>
    </row>
    <row r="924" spans="1:14" ht="36" customHeight="1" outlineLevel="3" x14ac:dyDescent="0.2">
      <c r="A924" s="36" t="s">
        <v>1129</v>
      </c>
      <c r="B924" s="37" t="str">
        <f>HYPERLINK("http://www.sedek.ru/upload/iblock/c59/morkov_charovnitsa_raduzhnaya_smes_gibridov.jpg","фото")</f>
        <v>фото</v>
      </c>
      <c r="C924" s="38"/>
      <c r="D924" s="38"/>
      <c r="E924" s="39"/>
      <c r="F924" s="39" t="s">
        <v>1130</v>
      </c>
      <c r="G924" s="44">
        <v>0.1</v>
      </c>
      <c r="H924" s="39" t="s">
        <v>101</v>
      </c>
      <c r="I924" s="39" t="s">
        <v>102</v>
      </c>
      <c r="J924" s="41">
        <v>2000</v>
      </c>
      <c r="K924" s="42">
        <v>39.4</v>
      </c>
      <c r="L924" s="43"/>
      <c r="M924" s="43">
        <f>L924*K924</f>
        <v>0</v>
      </c>
      <c r="N924" s="35">
        <v>4690368037419</v>
      </c>
    </row>
    <row r="925" spans="1:14" ht="36" customHeight="1" outlineLevel="3" x14ac:dyDescent="0.2">
      <c r="A925" s="36" t="s">
        <v>1131</v>
      </c>
      <c r="B925" s="37" t="str">
        <f>HYPERLINK("http://www.sedek.ru/upload/iblock/78d/morkov_charovnitsa_sakharnaya.jpg","фото")</f>
        <v>фото</v>
      </c>
      <c r="C925" s="38" t="s">
        <v>266</v>
      </c>
      <c r="D925" s="38"/>
      <c r="E925" s="39"/>
      <c r="F925" s="39" t="s">
        <v>1132</v>
      </c>
      <c r="G925" s="44">
        <v>0.1</v>
      </c>
      <c r="H925" s="39" t="s">
        <v>101</v>
      </c>
      <c r="I925" s="39" t="s">
        <v>102</v>
      </c>
      <c r="J925" s="41">
        <v>2000</v>
      </c>
      <c r="K925" s="42">
        <v>39.4</v>
      </c>
      <c r="L925" s="43"/>
      <c r="M925" s="43">
        <f>L925*K925</f>
        <v>0</v>
      </c>
      <c r="N925" s="35">
        <v>4690368037402</v>
      </c>
    </row>
    <row r="926" spans="1:14" ht="36" customHeight="1" outlineLevel="3" x14ac:dyDescent="0.2">
      <c r="A926" s="36" t="s">
        <v>1133</v>
      </c>
      <c r="B926" s="37" t="str">
        <f>HYPERLINK("http://www.sedek.ru/upload/iblock/a5f/morkov_charovnitsa_shokoladnaya.jpg","фото")</f>
        <v>фото</v>
      </c>
      <c r="C926" s="38" t="s">
        <v>266</v>
      </c>
      <c r="D926" s="38"/>
      <c r="E926" s="39"/>
      <c r="F926" s="39" t="s">
        <v>1134</v>
      </c>
      <c r="G926" s="44">
        <v>0.1</v>
      </c>
      <c r="H926" s="39" t="s">
        <v>101</v>
      </c>
      <c r="I926" s="39" t="s">
        <v>102</v>
      </c>
      <c r="J926" s="41">
        <v>2000</v>
      </c>
      <c r="K926" s="42">
        <v>39.4</v>
      </c>
      <c r="L926" s="43"/>
      <c r="M926" s="43">
        <f>L926*K926</f>
        <v>0</v>
      </c>
      <c r="N926" s="35">
        <v>4690368037389</v>
      </c>
    </row>
    <row r="927" spans="1:14" ht="24" customHeight="1" outlineLevel="3" x14ac:dyDescent="0.2">
      <c r="A927" s="45">
        <v>29298</v>
      </c>
      <c r="B927" s="37" t="str">
        <f>HYPERLINK("http://sedek.ru/upload/iblock/dbe/morkov_shantane_5.jpg","фото")</f>
        <v>фото</v>
      </c>
      <c r="C927" s="38"/>
      <c r="D927" s="38" t="s">
        <v>266</v>
      </c>
      <c r="E927" s="39"/>
      <c r="F927" s="39" t="s">
        <v>1135</v>
      </c>
      <c r="G927" s="40">
        <v>2</v>
      </c>
      <c r="H927" s="39" t="s">
        <v>101</v>
      </c>
      <c r="I927" s="39" t="s">
        <v>102</v>
      </c>
      <c r="J927" s="41">
        <v>2000</v>
      </c>
      <c r="K927" s="42">
        <v>16.899999999999999</v>
      </c>
      <c r="L927" s="43"/>
      <c r="M927" s="43">
        <f>L927*K927</f>
        <v>0</v>
      </c>
      <c r="N927" s="35">
        <v>4690368025362</v>
      </c>
    </row>
    <row r="928" spans="1:14" ht="36" customHeight="1" outlineLevel="3" x14ac:dyDescent="0.2">
      <c r="A928" s="45">
        <v>15923</v>
      </c>
      <c r="B928" s="37" t="str">
        <f>HYPERLINK("http://sedek.ru/upload/iblock/42b/morkov_shantene_2461.jpg","фото")</f>
        <v>фото</v>
      </c>
      <c r="C928" s="38"/>
      <c r="D928" s="38"/>
      <c r="E928" s="39"/>
      <c r="F928" s="39" t="s">
        <v>1136</v>
      </c>
      <c r="G928" s="40">
        <v>2</v>
      </c>
      <c r="H928" s="39" t="s">
        <v>101</v>
      </c>
      <c r="I928" s="39" t="s">
        <v>102</v>
      </c>
      <c r="J928" s="41">
        <v>2000</v>
      </c>
      <c r="K928" s="42">
        <v>18.8</v>
      </c>
      <c r="L928" s="43"/>
      <c r="M928" s="43">
        <f>L928*K928</f>
        <v>0</v>
      </c>
      <c r="N928" s="35">
        <v>4607149400898</v>
      </c>
    </row>
    <row r="929" spans="1:14" ht="36" customHeight="1" outlineLevel="3" x14ac:dyDescent="0.2">
      <c r="A929" s="45">
        <v>15923</v>
      </c>
      <c r="B929" s="37" t="str">
        <f>HYPERLINK("http://sedek.ru/upload/iblock/42b/morkov_shantene_2461.jpg","фото")</f>
        <v>фото</v>
      </c>
      <c r="C929" s="38"/>
      <c r="D929" s="38"/>
      <c r="E929" s="39"/>
      <c r="F929" s="39" t="s">
        <v>1137</v>
      </c>
      <c r="G929" s="40">
        <v>2</v>
      </c>
      <c r="H929" s="39" t="s">
        <v>101</v>
      </c>
      <c r="I929" s="39" t="s">
        <v>287</v>
      </c>
      <c r="J929" s="41">
        <v>2000</v>
      </c>
      <c r="K929" s="42">
        <v>6.5</v>
      </c>
      <c r="L929" s="43"/>
      <c r="M929" s="43">
        <f>L929*K929</f>
        <v>0</v>
      </c>
      <c r="N929" s="35">
        <v>4607149405572</v>
      </c>
    </row>
    <row r="930" spans="1:14" ht="36" customHeight="1" outlineLevel="3" x14ac:dyDescent="0.2">
      <c r="A930" s="45">
        <v>13845</v>
      </c>
      <c r="B930" s="37" t="str">
        <f>HYPERLINK("http://www.sedek.ru/upload/iblock/d95/morkov_shantene_royal.jpg","фото")</f>
        <v>фото</v>
      </c>
      <c r="C930" s="38"/>
      <c r="D930" s="38"/>
      <c r="E930" s="39"/>
      <c r="F930" s="39" t="s">
        <v>1138</v>
      </c>
      <c r="G930" s="40">
        <v>2</v>
      </c>
      <c r="H930" s="39" t="s">
        <v>101</v>
      </c>
      <c r="I930" s="39" t="s">
        <v>102</v>
      </c>
      <c r="J930" s="41">
        <v>2000</v>
      </c>
      <c r="K930" s="42">
        <v>18.8</v>
      </c>
      <c r="L930" s="43"/>
      <c r="M930" s="43">
        <f>L930*K930</f>
        <v>0</v>
      </c>
      <c r="N930" s="35">
        <v>4607015181821</v>
      </c>
    </row>
    <row r="931" spans="1:14" ht="36" customHeight="1" outlineLevel="3" x14ac:dyDescent="0.2">
      <c r="A931" s="45">
        <v>13845</v>
      </c>
      <c r="B931" s="37" t="str">
        <f>HYPERLINK("http://www.sedek.ru/upload/iblock/d95/morkov_shantene_royal.jpg","фото")</f>
        <v>фото</v>
      </c>
      <c r="C931" s="38"/>
      <c r="D931" s="38"/>
      <c r="E931" s="39"/>
      <c r="F931" s="39" t="s">
        <v>1139</v>
      </c>
      <c r="G931" s="40">
        <v>2</v>
      </c>
      <c r="H931" s="39" t="s">
        <v>101</v>
      </c>
      <c r="I931" s="39" t="s">
        <v>287</v>
      </c>
      <c r="J931" s="41">
        <v>2000</v>
      </c>
      <c r="K931" s="42">
        <v>8.1</v>
      </c>
      <c r="L931" s="43"/>
      <c r="M931" s="43">
        <f>L931*K931</f>
        <v>0</v>
      </c>
      <c r="N931" s="35">
        <v>4607149408382</v>
      </c>
    </row>
    <row r="932" spans="1:14" ht="24" customHeight="1" outlineLevel="3" x14ac:dyDescent="0.2">
      <c r="A932" s="36" t="s">
        <v>1140</v>
      </c>
      <c r="B932" s="37" t="str">
        <f>HYPERLINK("http://sedek.ru/upload/iblock/cee/morkov_shantino.jpg","фото")</f>
        <v>фото</v>
      </c>
      <c r="C932" s="38"/>
      <c r="D932" s="38"/>
      <c r="E932" s="39"/>
      <c r="F932" s="39" t="s">
        <v>1141</v>
      </c>
      <c r="G932" s="44">
        <v>0.3</v>
      </c>
      <c r="H932" s="39" t="s">
        <v>101</v>
      </c>
      <c r="I932" s="39" t="s">
        <v>102</v>
      </c>
      <c r="J932" s="41">
        <v>2000</v>
      </c>
      <c r="K932" s="42">
        <v>20.8</v>
      </c>
      <c r="L932" s="43"/>
      <c r="M932" s="43">
        <f>L932*K932</f>
        <v>0</v>
      </c>
      <c r="N932" s="35">
        <v>4690368026475</v>
      </c>
    </row>
    <row r="933" spans="1:14" ht="36" customHeight="1" outlineLevel="3" x14ac:dyDescent="0.2">
      <c r="A933" s="36" t="s">
        <v>1142</v>
      </c>
      <c r="B933" s="37" t="str">
        <f>HYPERLINK("http://www.sedek.ru/upload/iblock/de4/morkov_yantarnyy_plov.jpg","фото")</f>
        <v>фото</v>
      </c>
      <c r="C933" s="38" t="s">
        <v>266</v>
      </c>
      <c r="D933" s="38"/>
      <c r="E933" s="39"/>
      <c r="F933" s="39" t="s">
        <v>1143</v>
      </c>
      <c r="G933" s="44">
        <v>0.1</v>
      </c>
      <c r="H933" s="39" t="s">
        <v>101</v>
      </c>
      <c r="I933" s="39" t="s">
        <v>102</v>
      </c>
      <c r="J933" s="41">
        <v>2000</v>
      </c>
      <c r="K933" s="42">
        <v>21</v>
      </c>
      <c r="L933" s="43"/>
      <c r="M933" s="43">
        <f>L933*K933</f>
        <v>0</v>
      </c>
      <c r="N933" s="35">
        <v>4690368037433</v>
      </c>
    </row>
    <row r="934" spans="1:14" ht="12" customHeight="1" outlineLevel="2" x14ac:dyDescent="0.2">
      <c r="A934" s="22"/>
      <c r="B934" s="23"/>
      <c r="C934" s="23"/>
      <c r="D934" s="23"/>
      <c r="E934" s="24"/>
      <c r="F934" s="24" t="s">
        <v>1144</v>
      </c>
      <c r="G934" s="24"/>
      <c r="H934" s="24"/>
      <c r="I934" s="24"/>
      <c r="J934" s="24"/>
      <c r="K934" s="24"/>
      <c r="L934" s="24"/>
      <c r="M934" s="24"/>
      <c r="N934" s="25"/>
    </row>
    <row r="935" spans="1:14" ht="24" customHeight="1" outlineLevel="3" x14ac:dyDescent="0.2">
      <c r="A935" s="45">
        <v>16486</v>
      </c>
      <c r="B935" s="37" t="str">
        <f>HYPERLINK("http://sedek.ru/upload/iblock/9e0/ogurets_agat_f1.jpg","фото")</f>
        <v>фото</v>
      </c>
      <c r="C935" s="38"/>
      <c r="D935" s="38"/>
      <c r="E935" s="39"/>
      <c r="F935" s="39" t="s">
        <v>1145</v>
      </c>
      <c r="G935" s="54">
        <v>0.15</v>
      </c>
      <c r="H935" s="39" t="s">
        <v>101</v>
      </c>
      <c r="I935" s="39" t="s">
        <v>102</v>
      </c>
      <c r="J935" s="41">
        <v>4000</v>
      </c>
      <c r="K935" s="42">
        <v>58.8</v>
      </c>
      <c r="L935" s="43"/>
      <c r="M935" s="43">
        <f>L935*K935</f>
        <v>0</v>
      </c>
      <c r="N935" s="35">
        <v>4607015181869</v>
      </c>
    </row>
    <row r="936" spans="1:14" ht="36" customHeight="1" outlineLevel="3" x14ac:dyDescent="0.2">
      <c r="A936" s="45">
        <v>16412</v>
      </c>
      <c r="B936" s="37" t="str">
        <f>HYPERLINK("http://www.sedek.ru/upload/iblock/eaa/ogurets_azhur_f1.jpg","фото")</f>
        <v>фото</v>
      </c>
      <c r="C936" s="38"/>
      <c r="D936" s="38"/>
      <c r="E936" s="39" t="s">
        <v>263</v>
      </c>
      <c r="F936" s="39" t="s">
        <v>1146</v>
      </c>
      <c r="G936" s="44">
        <v>0.2</v>
      </c>
      <c r="H936" s="39" t="s">
        <v>101</v>
      </c>
      <c r="I936" s="39" t="s">
        <v>102</v>
      </c>
      <c r="J936" s="41">
        <v>4000</v>
      </c>
      <c r="K936" s="42">
        <v>51.3</v>
      </c>
      <c r="L936" s="43"/>
      <c r="M936" s="43">
        <f>L936*K936</f>
        <v>0</v>
      </c>
      <c r="N936" s="35">
        <v>4690368014458</v>
      </c>
    </row>
    <row r="937" spans="1:14" ht="24" customHeight="1" outlineLevel="3" x14ac:dyDescent="0.2">
      <c r="A937" s="45">
        <v>13567</v>
      </c>
      <c r="B937" s="37" t="str">
        <f>HYPERLINK("http://sedek.ru/upload/iblock/39e/ogurets_alekseich_f1.jpg","фото")</f>
        <v>фото</v>
      </c>
      <c r="C937" s="38"/>
      <c r="D937" s="38" t="s">
        <v>266</v>
      </c>
      <c r="E937" s="39"/>
      <c r="F937" s="39" t="s">
        <v>1147</v>
      </c>
      <c r="G937" s="44">
        <v>0.2</v>
      </c>
      <c r="H937" s="39" t="s">
        <v>101</v>
      </c>
      <c r="I937" s="39" t="s">
        <v>102</v>
      </c>
      <c r="J937" s="41">
        <v>4000</v>
      </c>
      <c r="K937" s="42">
        <v>48.1</v>
      </c>
      <c r="L937" s="43"/>
      <c r="M937" s="43">
        <f>L937*K937</f>
        <v>0</v>
      </c>
      <c r="N937" s="35">
        <v>4690368010122</v>
      </c>
    </row>
    <row r="938" spans="1:14" ht="24" customHeight="1" outlineLevel="3" x14ac:dyDescent="0.2">
      <c r="A938" s="45">
        <v>16376</v>
      </c>
      <c r="B938" s="37" t="str">
        <f>HYPERLINK("http://sedek.ru/upload/iblock/378/ogurets_alenushka_f1.jpg","фото")</f>
        <v>фото</v>
      </c>
      <c r="C938" s="38"/>
      <c r="D938" s="38"/>
      <c r="E938" s="39"/>
      <c r="F938" s="39" t="s">
        <v>1148</v>
      </c>
      <c r="G938" s="44">
        <v>0.3</v>
      </c>
      <c r="H938" s="39" t="s">
        <v>101</v>
      </c>
      <c r="I938" s="39" t="s">
        <v>102</v>
      </c>
      <c r="J938" s="41">
        <v>3000</v>
      </c>
      <c r="K938" s="42">
        <v>26.3</v>
      </c>
      <c r="L938" s="43"/>
      <c r="M938" s="43">
        <f>L938*K938</f>
        <v>0</v>
      </c>
      <c r="N938" s="35">
        <v>4607116269671</v>
      </c>
    </row>
    <row r="939" spans="1:14" ht="24" customHeight="1" outlineLevel="3" x14ac:dyDescent="0.2">
      <c r="A939" s="45">
        <v>16376</v>
      </c>
      <c r="B939" s="37" t="str">
        <f>HYPERLINK("http://sedek.ru/upload/iblock/378/ogurets_alenushka_f1.jpg","фото")</f>
        <v>фото</v>
      </c>
      <c r="C939" s="38"/>
      <c r="D939" s="38"/>
      <c r="E939" s="39"/>
      <c r="F939" s="39" t="s">
        <v>1149</v>
      </c>
      <c r="G939" s="44">
        <v>0.3</v>
      </c>
      <c r="H939" s="39" t="s">
        <v>101</v>
      </c>
      <c r="I939" s="39" t="s">
        <v>287</v>
      </c>
      <c r="J939" s="41">
        <v>3000</v>
      </c>
      <c r="K939" s="42">
        <v>12.4</v>
      </c>
      <c r="L939" s="43"/>
      <c r="M939" s="43">
        <f>L939*K939</f>
        <v>0</v>
      </c>
      <c r="N939" s="35">
        <v>4690368004596</v>
      </c>
    </row>
    <row r="940" spans="1:14" ht="36" customHeight="1" outlineLevel="3" x14ac:dyDescent="0.2">
      <c r="A940" s="36" t="s">
        <v>1150</v>
      </c>
      <c r="B940" s="37" t="str">
        <f>HYPERLINK("http://www.sedek.ru/upload/iblock/b3b/ogurets_alligator_2_f1.jpg","фото")</f>
        <v>фото</v>
      </c>
      <c r="C940" s="38"/>
      <c r="D940" s="38"/>
      <c r="E940" s="39" t="s">
        <v>1151</v>
      </c>
      <c r="F940" s="39" t="s">
        <v>1152</v>
      </c>
      <c r="G940" s="44">
        <v>0.2</v>
      </c>
      <c r="H940" s="39" t="s">
        <v>101</v>
      </c>
      <c r="I940" s="39" t="s">
        <v>102</v>
      </c>
      <c r="J940" s="41">
        <v>4000</v>
      </c>
      <c r="K940" s="42">
        <v>49.8</v>
      </c>
      <c r="L940" s="43"/>
      <c r="M940" s="43">
        <f>L940*K940</f>
        <v>0</v>
      </c>
      <c r="N940" s="35">
        <v>4690368028585</v>
      </c>
    </row>
    <row r="941" spans="1:14" ht="36" customHeight="1" outlineLevel="3" x14ac:dyDescent="0.2">
      <c r="A941" s="36" t="s">
        <v>1153</v>
      </c>
      <c r="B941" s="37" t="str">
        <f>HYPERLINK("http://sedek.ru/upload/iblock/166/ogurets_alligator_4_f1.jpg","фото")</f>
        <v>фото</v>
      </c>
      <c r="C941" s="38"/>
      <c r="D941" s="38" t="s">
        <v>266</v>
      </c>
      <c r="E941" s="39" t="s">
        <v>1151</v>
      </c>
      <c r="F941" s="39" t="s">
        <v>1154</v>
      </c>
      <c r="G941" s="44">
        <v>0.2</v>
      </c>
      <c r="H941" s="39" t="s">
        <v>101</v>
      </c>
      <c r="I941" s="39" t="s">
        <v>102</v>
      </c>
      <c r="J941" s="41">
        <v>4000</v>
      </c>
      <c r="K941" s="42">
        <v>49.8</v>
      </c>
      <c r="L941" s="43"/>
      <c r="M941" s="43">
        <f>L941*K941</f>
        <v>0</v>
      </c>
      <c r="N941" s="35">
        <v>4690368039420</v>
      </c>
    </row>
    <row r="942" spans="1:14" ht="24" customHeight="1" outlineLevel="3" x14ac:dyDescent="0.2">
      <c r="A942" s="45">
        <v>15314</v>
      </c>
      <c r="B942" s="37" t="str">
        <f>HYPERLINK("http://www.sedek.ru/upload/iblock/7e8/ogurets_alligator_f1.jpg","фото")</f>
        <v>фото</v>
      </c>
      <c r="C942" s="38"/>
      <c r="D942" s="38"/>
      <c r="E942" s="39" t="s">
        <v>1151</v>
      </c>
      <c r="F942" s="39" t="s">
        <v>1155</v>
      </c>
      <c r="G942" s="44">
        <v>0.2</v>
      </c>
      <c r="H942" s="39" t="s">
        <v>101</v>
      </c>
      <c r="I942" s="39" t="s">
        <v>102</v>
      </c>
      <c r="J942" s="41">
        <v>4000</v>
      </c>
      <c r="K942" s="42">
        <v>49.8</v>
      </c>
      <c r="L942" s="43"/>
      <c r="M942" s="43">
        <f>L942*K942</f>
        <v>0</v>
      </c>
      <c r="N942" s="35">
        <v>4690368005654</v>
      </c>
    </row>
    <row r="943" spans="1:14" ht="24" customHeight="1" outlineLevel="3" x14ac:dyDescent="0.2">
      <c r="A943" s="45">
        <v>14265</v>
      </c>
      <c r="B943" s="37" t="str">
        <f>HYPERLINK("http://sedek.ru/upload/iblock/17c/ogurets_angel_f1.jpg","фото")</f>
        <v>фото</v>
      </c>
      <c r="C943" s="38"/>
      <c r="D943" s="38" t="s">
        <v>266</v>
      </c>
      <c r="E943" s="39"/>
      <c r="F943" s="39" t="s">
        <v>1156</v>
      </c>
      <c r="G943" s="44">
        <v>0.3</v>
      </c>
      <c r="H943" s="39" t="s">
        <v>101</v>
      </c>
      <c r="I943" s="39" t="s">
        <v>102</v>
      </c>
      <c r="J943" s="41">
        <v>3000</v>
      </c>
      <c r="K943" s="42">
        <v>30.3</v>
      </c>
      <c r="L943" s="43"/>
      <c r="M943" s="43">
        <f>L943*K943</f>
        <v>0</v>
      </c>
      <c r="N943" s="35">
        <v>4607015181906</v>
      </c>
    </row>
    <row r="944" spans="1:14" ht="24" customHeight="1" outlineLevel="3" x14ac:dyDescent="0.2">
      <c r="A944" s="45">
        <v>14265</v>
      </c>
      <c r="B944" s="37" t="str">
        <f>HYPERLINK("http://sedek.ru/upload/iblock/17c/ogurets_angel_f1.jpg","фото")</f>
        <v>фото</v>
      </c>
      <c r="C944" s="38"/>
      <c r="D944" s="38" t="s">
        <v>266</v>
      </c>
      <c r="E944" s="39"/>
      <c r="F944" s="39" t="s">
        <v>1157</v>
      </c>
      <c r="G944" s="44">
        <v>0.3</v>
      </c>
      <c r="H944" s="39" t="s">
        <v>101</v>
      </c>
      <c r="I944" s="39" t="s">
        <v>287</v>
      </c>
      <c r="J944" s="41">
        <v>3000</v>
      </c>
      <c r="K944" s="42">
        <v>12.4</v>
      </c>
      <c r="L944" s="43"/>
      <c r="M944" s="43">
        <f>L944*K944</f>
        <v>0</v>
      </c>
      <c r="N944" s="35">
        <v>4690368004619</v>
      </c>
    </row>
    <row r="945" spans="1:14" ht="24" customHeight="1" outlineLevel="3" x14ac:dyDescent="0.2">
      <c r="A945" s="45">
        <v>16244</v>
      </c>
      <c r="B945" s="37" t="str">
        <f>HYPERLINK("http://sedek.ru/upload/iblock/37a/ogurets_annika_f1.JPG","фото")</f>
        <v>фото</v>
      </c>
      <c r="C945" s="38"/>
      <c r="D945" s="38"/>
      <c r="E945" s="39"/>
      <c r="F945" s="39" t="s">
        <v>1158</v>
      </c>
      <c r="G945" s="44">
        <v>0.2</v>
      </c>
      <c r="H945" s="39" t="s">
        <v>101</v>
      </c>
      <c r="I945" s="39" t="s">
        <v>102</v>
      </c>
      <c r="J945" s="41">
        <v>4000</v>
      </c>
      <c r="K945" s="42">
        <v>33.9</v>
      </c>
      <c r="L945" s="43"/>
      <c r="M945" s="43">
        <f>L945*K945</f>
        <v>0</v>
      </c>
      <c r="N945" s="35">
        <v>4690368015080</v>
      </c>
    </row>
    <row r="946" spans="1:14" ht="24" customHeight="1" outlineLevel="3" x14ac:dyDescent="0.2">
      <c r="A946" s="45">
        <v>15570</v>
      </c>
      <c r="B946" s="37" t="str">
        <f>HYPERLINK("http://sedek.ru/upload/iblock/780/ogurets_aprelskiy_f1.jpg","фото")</f>
        <v>фото</v>
      </c>
      <c r="C946" s="38"/>
      <c r="D946" s="38"/>
      <c r="E946" s="39"/>
      <c r="F946" s="39" t="s">
        <v>1159</v>
      </c>
      <c r="G946" s="44">
        <v>0.2</v>
      </c>
      <c r="H946" s="39" t="s">
        <v>101</v>
      </c>
      <c r="I946" s="39" t="s">
        <v>102</v>
      </c>
      <c r="J946" s="41">
        <v>4000</v>
      </c>
      <c r="K946" s="42">
        <v>26.3</v>
      </c>
      <c r="L946" s="43"/>
      <c r="M946" s="43">
        <f>L946*K946</f>
        <v>0</v>
      </c>
      <c r="N946" s="35">
        <v>4607015181944</v>
      </c>
    </row>
    <row r="947" spans="1:14" ht="36" customHeight="1" outlineLevel="3" x14ac:dyDescent="0.2">
      <c r="A947" s="45">
        <v>16102</v>
      </c>
      <c r="B947" s="37" t="str">
        <f>HYPERLINK("http://www.sedek.ru/upload/iblock/12c/ogurets_babushkin_gostinets_f1.jpg","фото")</f>
        <v>фото</v>
      </c>
      <c r="C947" s="38"/>
      <c r="D947" s="38"/>
      <c r="E947" s="39"/>
      <c r="F947" s="39" t="s">
        <v>1160</v>
      </c>
      <c r="G947" s="44">
        <v>0.3</v>
      </c>
      <c r="H947" s="39" t="s">
        <v>101</v>
      </c>
      <c r="I947" s="39" t="s">
        <v>102</v>
      </c>
      <c r="J947" s="41">
        <v>3000</v>
      </c>
      <c r="K947" s="42">
        <v>33.4</v>
      </c>
      <c r="L947" s="43"/>
      <c r="M947" s="43">
        <f>L947*K947</f>
        <v>0</v>
      </c>
      <c r="N947" s="35">
        <v>4690368008860</v>
      </c>
    </row>
    <row r="948" spans="1:14" ht="36" customHeight="1" outlineLevel="3" x14ac:dyDescent="0.2">
      <c r="A948" s="36" t="s">
        <v>1161</v>
      </c>
      <c r="B948" s="37" t="str">
        <f>HYPERLINK("http://www.sedek.ru/upload/iblock/ee2/ogurets_balkonnoe_chudo_f1.jpg","фото")</f>
        <v>фото</v>
      </c>
      <c r="C948" s="38"/>
      <c r="D948" s="38"/>
      <c r="E948" s="39" t="s">
        <v>1162</v>
      </c>
      <c r="F948" s="39" t="s">
        <v>1163</v>
      </c>
      <c r="G948" s="44">
        <v>0.2</v>
      </c>
      <c r="H948" s="39" t="s">
        <v>101</v>
      </c>
      <c r="I948" s="39" t="s">
        <v>102</v>
      </c>
      <c r="J948" s="41">
        <v>4000</v>
      </c>
      <c r="K948" s="42">
        <v>24.2</v>
      </c>
      <c r="L948" s="43"/>
      <c r="M948" s="43">
        <f>L948*K948</f>
        <v>0</v>
      </c>
      <c r="N948" s="35">
        <v>4690368025300</v>
      </c>
    </row>
    <row r="949" spans="1:14" ht="36" customHeight="1" outlineLevel="3" x14ac:dyDescent="0.2">
      <c r="A949" s="36" t="s">
        <v>1164</v>
      </c>
      <c r="B949" s="37" t="str">
        <f>HYPERLINK("https://www.sedek.ru/upload/iblock/1a0/1fpb6pivspavnduobexepek7k5b4ly5z/ogurets_balkonnoe_chudo_2_f1.JPG","фото")</f>
        <v>фото</v>
      </c>
      <c r="C949" s="38" t="s">
        <v>266</v>
      </c>
      <c r="D949" s="38"/>
      <c r="E949" s="39" t="s">
        <v>1162</v>
      </c>
      <c r="F949" s="39" t="s">
        <v>1165</v>
      </c>
      <c r="G949" s="44">
        <v>0.2</v>
      </c>
      <c r="H949" s="39"/>
      <c r="I949" s="39" t="s">
        <v>102</v>
      </c>
      <c r="J949" s="41">
        <v>4000</v>
      </c>
      <c r="K949" s="42">
        <v>44.7</v>
      </c>
      <c r="L949" s="43"/>
      <c r="M949" s="43">
        <f>L949*K949</f>
        <v>0</v>
      </c>
      <c r="N949" s="35">
        <v>4690368045070</v>
      </c>
    </row>
    <row r="950" spans="1:14" ht="36" customHeight="1" outlineLevel="3" x14ac:dyDescent="0.2">
      <c r="A950" s="36" t="s">
        <v>1166</v>
      </c>
      <c r="B950" s="37" t="str">
        <f>HYPERLINK("https://www.sedek.ru/upload/iblock/431/xqhwyecdob0cw5tqoqk0bj26c0z9jfjp/ogurets_balkonnoe_chudo_3_f1.JPG","фото")</f>
        <v>фото</v>
      </c>
      <c r="C950" s="38" t="s">
        <v>266</v>
      </c>
      <c r="D950" s="38"/>
      <c r="E950" s="39" t="s">
        <v>1162</v>
      </c>
      <c r="F950" s="39" t="s">
        <v>1167</v>
      </c>
      <c r="G950" s="44">
        <v>0.2</v>
      </c>
      <c r="H950" s="39"/>
      <c r="I950" s="39" t="s">
        <v>102</v>
      </c>
      <c r="J950" s="41">
        <v>4000</v>
      </c>
      <c r="K950" s="42">
        <v>44.7</v>
      </c>
      <c r="L950" s="43"/>
      <c r="M950" s="43">
        <f>L950*K950</f>
        <v>0</v>
      </c>
      <c r="N950" s="35">
        <v>4690368045087</v>
      </c>
    </row>
    <row r="951" spans="1:14" ht="36" customHeight="1" outlineLevel="3" x14ac:dyDescent="0.2">
      <c r="A951" s="36" t="s">
        <v>1168</v>
      </c>
      <c r="B951" s="37" t="str">
        <f>HYPERLINK("https://www.sedek.ru/upload/iblock/c64/j3b0tm1lngwlchfj9fx061qu6zxhfbiy/ogurets_balkonnoe_chudo_4_f1.jpg","фото")</f>
        <v>фото</v>
      </c>
      <c r="C951" s="38" t="s">
        <v>266</v>
      </c>
      <c r="D951" s="38" t="s">
        <v>266</v>
      </c>
      <c r="E951" s="39" t="s">
        <v>1162</v>
      </c>
      <c r="F951" s="39" t="s">
        <v>1169</v>
      </c>
      <c r="G951" s="44">
        <v>0.2</v>
      </c>
      <c r="H951" s="39"/>
      <c r="I951" s="39" t="s">
        <v>102</v>
      </c>
      <c r="J951" s="41">
        <v>4000</v>
      </c>
      <c r="K951" s="42">
        <v>44.7</v>
      </c>
      <c r="L951" s="43"/>
      <c r="M951" s="43">
        <f>L951*K951</f>
        <v>0</v>
      </c>
      <c r="N951" s="35">
        <v>4690368045094</v>
      </c>
    </row>
    <row r="952" spans="1:14" ht="36" customHeight="1" outlineLevel="3" x14ac:dyDescent="0.2">
      <c r="A952" s="45">
        <v>30888</v>
      </c>
      <c r="B952" s="37" t="str">
        <f>HYPERLINK("http://sedek.ru/upload/iblock/797/ogurets_banochnyy_f1.jpg","фото")</f>
        <v>фото</v>
      </c>
      <c r="C952" s="38"/>
      <c r="D952" s="38"/>
      <c r="E952" s="39"/>
      <c r="F952" s="39" t="s">
        <v>1170</v>
      </c>
      <c r="G952" s="44">
        <v>0.3</v>
      </c>
      <c r="H952" s="39" t="s">
        <v>101</v>
      </c>
      <c r="I952" s="39" t="s">
        <v>102</v>
      </c>
      <c r="J952" s="41">
        <v>3000</v>
      </c>
      <c r="K952" s="42">
        <v>25.4</v>
      </c>
      <c r="L952" s="43"/>
      <c r="M952" s="43">
        <f>L952*K952</f>
        <v>0</v>
      </c>
      <c r="N952" s="35">
        <v>4607116269688</v>
      </c>
    </row>
    <row r="953" spans="1:14" ht="24" customHeight="1" outlineLevel="3" x14ac:dyDescent="0.2">
      <c r="A953" s="45">
        <v>30888</v>
      </c>
      <c r="B953" s="37" t="str">
        <f>HYPERLINK("http://sedek.ru/upload/iblock/797/ogurets_banochnyy_f1.jpg","фото")</f>
        <v>фото</v>
      </c>
      <c r="C953" s="38"/>
      <c r="D953" s="38"/>
      <c r="E953" s="39"/>
      <c r="F953" s="39" t="s">
        <v>1171</v>
      </c>
      <c r="G953" s="44">
        <v>0.3</v>
      </c>
      <c r="H953" s="39" t="s">
        <v>101</v>
      </c>
      <c r="I953" s="39" t="s">
        <v>287</v>
      </c>
      <c r="J953" s="41">
        <v>3000</v>
      </c>
      <c r="K953" s="42">
        <v>13.6</v>
      </c>
      <c r="L953" s="43"/>
      <c r="M953" s="43">
        <f>L953*K953</f>
        <v>0</v>
      </c>
      <c r="N953" s="35">
        <v>4607149402427</v>
      </c>
    </row>
    <row r="954" spans="1:14" ht="36" customHeight="1" outlineLevel="3" x14ac:dyDescent="0.2">
      <c r="A954" s="45">
        <v>14163</v>
      </c>
      <c r="B954" s="37" t="str">
        <f>HYPERLINK("http://www.sedek.ru/upload/iblock/5a8/ogurets_batyushka_f1.JPG","фото")</f>
        <v>фото</v>
      </c>
      <c r="C954" s="38"/>
      <c r="D954" s="38"/>
      <c r="E954" s="39"/>
      <c r="F954" s="39" t="s">
        <v>1172</v>
      </c>
      <c r="G954" s="44">
        <v>0.2</v>
      </c>
      <c r="H954" s="39" t="s">
        <v>101</v>
      </c>
      <c r="I954" s="39" t="s">
        <v>102</v>
      </c>
      <c r="J954" s="41">
        <v>4000</v>
      </c>
      <c r="K954" s="42">
        <v>31.8</v>
      </c>
      <c r="L954" s="43"/>
      <c r="M954" s="43">
        <f>L954*K954</f>
        <v>0</v>
      </c>
      <c r="N954" s="35">
        <v>4690368015851</v>
      </c>
    </row>
    <row r="955" spans="1:14" ht="36" customHeight="1" outlineLevel="3" x14ac:dyDescent="0.2">
      <c r="A955" s="36" t="s">
        <v>1173</v>
      </c>
      <c r="B955" s="37" t="str">
        <f>HYPERLINK("http://www.sedek.ru/upload/iblock/a90/ogurets_belaya_gvardiya_f1.jpg","фото")</f>
        <v>фото</v>
      </c>
      <c r="C955" s="38"/>
      <c r="D955" s="38"/>
      <c r="E955" s="39"/>
      <c r="F955" s="39" t="s">
        <v>1174</v>
      </c>
      <c r="G955" s="44">
        <v>0.2</v>
      </c>
      <c r="H955" s="39" t="s">
        <v>101</v>
      </c>
      <c r="I955" s="39" t="s">
        <v>102</v>
      </c>
      <c r="J955" s="41">
        <v>4000</v>
      </c>
      <c r="K955" s="42">
        <v>31.2</v>
      </c>
      <c r="L955" s="43"/>
      <c r="M955" s="43">
        <f>L955*K955</f>
        <v>0</v>
      </c>
      <c r="N955" s="35">
        <v>4690368031424</v>
      </c>
    </row>
    <row r="956" spans="1:14" ht="36" customHeight="1" outlineLevel="3" x14ac:dyDescent="0.2">
      <c r="A956" s="45">
        <v>1043</v>
      </c>
      <c r="B956" s="37" t="str">
        <f>HYPERLINK("http://sedek.ru/upload/iblock/c91/ogurets_betkhoven_f1.jpg","фото")</f>
        <v>фото</v>
      </c>
      <c r="C956" s="38"/>
      <c r="D956" s="38"/>
      <c r="E956" s="39" t="s">
        <v>1175</v>
      </c>
      <c r="F956" s="39" t="s">
        <v>1176</v>
      </c>
      <c r="G956" s="40">
        <v>8</v>
      </c>
      <c r="H956" s="39" t="s">
        <v>307</v>
      </c>
      <c r="I956" s="39" t="s">
        <v>102</v>
      </c>
      <c r="J956" s="41">
        <v>4000</v>
      </c>
      <c r="K956" s="42">
        <v>82</v>
      </c>
      <c r="L956" s="43"/>
      <c r="M956" s="43">
        <f>L956*K956</f>
        <v>0</v>
      </c>
      <c r="N956" s="35">
        <v>4690368026581</v>
      </c>
    </row>
    <row r="957" spans="1:14" ht="36" customHeight="1" outlineLevel="3" x14ac:dyDescent="0.2">
      <c r="A957" s="45">
        <v>15967</v>
      </c>
      <c r="B957" s="37" t="str">
        <f>HYPERLINK("http://www.sedek.ru/upload/iblock/2cd/ogurets_bidretta_f1.JPG","фото")</f>
        <v>фото</v>
      </c>
      <c r="C957" s="38"/>
      <c r="D957" s="38"/>
      <c r="E957" s="39"/>
      <c r="F957" s="39" t="s">
        <v>1177</v>
      </c>
      <c r="G957" s="44">
        <v>0.3</v>
      </c>
      <c r="H957" s="39" t="s">
        <v>101</v>
      </c>
      <c r="I957" s="39" t="s">
        <v>102</v>
      </c>
      <c r="J957" s="41">
        <v>3000</v>
      </c>
      <c r="K957" s="42">
        <v>20</v>
      </c>
      <c r="L957" s="43"/>
      <c r="M957" s="43">
        <f>L957*K957</f>
        <v>0</v>
      </c>
      <c r="N957" s="35">
        <v>4690368012843</v>
      </c>
    </row>
    <row r="958" spans="1:14" ht="24" customHeight="1" outlineLevel="3" x14ac:dyDescent="0.2">
      <c r="A958" s="45">
        <v>14383</v>
      </c>
      <c r="B958" s="37" t="str">
        <f>HYPERLINK("http://sedek.ru/upload/iblock/e50/ogurets_biznes_f1.jpg","фото")</f>
        <v>фото</v>
      </c>
      <c r="C958" s="38"/>
      <c r="D958" s="38"/>
      <c r="E958" s="39"/>
      <c r="F958" s="39" t="s">
        <v>1178</v>
      </c>
      <c r="G958" s="44">
        <v>0.3</v>
      </c>
      <c r="H958" s="39" t="s">
        <v>101</v>
      </c>
      <c r="I958" s="39" t="s">
        <v>102</v>
      </c>
      <c r="J958" s="41">
        <v>3000</v>
      </c>
      <c r="K958" s="42">
        <v>20</v>
      </c>
      <c r="L958" s="43"/>
      <c r="M958" s="43">
        <f>L958*K958</f>
        <v>0</v>
      </c>
      <c r="N958" s="35">
        <v>4607015182002</v>
      </c>
    </row>
    <row r="959" spans="1:14" ht="36" customHeight="1" outlineLevel="3" x14ac:dyDescent="0.2">
      <c r="A959" s="45">
        <v>14218</v>
      </c>
      <c r="B959" s="37" t="str">
        <f>HYPERLINK("http://sedek.ru/upload/iblock/9d9/ogurets_blondin_f1.jpg","фото")</f>
        <v>фото</v>
      </c>
      <c r="C959" s="38"/>
      <c r="D959" s="38" t="s">
        <v>266</v>
      </c>
      <c r="E959" s="39"/>
      <c r="F959" s="39" t="s">
        <v>1179</v>
      </c>
      <c r="G959" s="44">
        <v>0.2</v>
      </c>
      <c r="H959" s="39" t="s">
        <v>101</v>
      </c>
      <c r="I959" s="39" t="s">
        <v>102</v>
      </c>
      <c r="J959" s="41">
        <v>4000</v>
      </c>
      <c r="K959" s="42">
        <v>21.6</v>
      </c>
      <c r="L959" s="43"/>
      <c r="M959" s="43">
        <f>L959*K959</f>
        <v>0</v>
      </c>
      <c r="N959" s="35">
        <v>4607116267370</v>
      </c>
    </row>
    <row r="960" spans="1:14" ht="36" customHeight="1" outlineLevel="3" x14ac:dyDescent="0.2">
      <c r="A960" s="45">
        <v>14766</v>
      </c>
      <c r="B960" s="37" t="str">
        <f>HYPERLINK("http://sedek.ru/upload/iblock/a7b/ogurets_boyskaut_f1.jpg","фото")</f>
        <v>фото</v>
      </c>
      <c r="C960" s="38"/>
      <c r="D960" s="38"/>
      <c r="E960" s="39" t="s">
        <v>1180</v>
      </c>
      <c r="F960" s="39" t="s">
        <v>1181</v>
      </c>
      <c r="G960" s="44">
        <v>0.3</v>
      </c>
      <c r="H960" s="39" t="s">
        <v>101</v>
      </c>
      <c r="I960" s="39" t="s">
        <v>102</v>
      </c>
      <c r="J960" s="41">
        <v>3000</v>
      </c>
      <c r="K960" s="42">
        <v>25.1</v>
      </c>
      <c r="L960" s="43"/>
      <c r="M960" s="43">
        <f>L960*K960</f>
        <v>0</v>
      </c>
      <c r="N960" s="35">
        <v>4607015182040</v>
      </c>
    </row>
    <row r="961" spans="1:14" ht="36" customHeight="1" outlineLevel="3" x14ac:dyDescent="0.2">
      <c r="A961" s="45">
        <v>14766</v>
      </c>
      <c r="B961" s="37" t="str">
        <f>HYPERLINK("http://sedek.ru/upload/iblock/a7b/ogurets_boyskaut_f1.jpg","фото")</f>
        <v>фото</v>
      </c>
      <c r="C961" s="38"/>
      <c r="D961" s="38"/>
      <c r="E961" s="39" t="s">
        <v>1180</v>
      </c>
      <c r="F961" s="39" t="s">
        <v>1182</v>
      </c>
      <c r="G961" s="44">
        <v>0.3</v>
      </c>
      <c r="H961" s="39" t="s">
        <v>101</v>
      </c>
      <c r="I961" s="39" t="s">
        <v>287</v>
      </c>
      <c r="J961" s="41">
        <v>3000</v>
      </c>
      <c r="K961" s="42">
        <v>12.4</v>
      </c>
      <c r="L961" s="43"/>
      <c r="M961" s="43">
        <f>L961*K961</f>
        <v>0</v>
      </c>
      <c r="N961" s="35">
        <v>4607149402441</v>
      </c>
    </row>
    <row r="962" spans="1:14" ht="36" customHeight="1" outlineLevel="3" x14ac:dyDescent="0.2">
      <c r="A962" s="45">
        <v>13507</v>
      </c>
      <c r="B962" s="37" t="str">
        <f>HYPERLINK("http://www.sedek.ru/upload/iblock/d80/ogurets_boris_f1.jpg","фото")</f>
        <v>фото</v>
      </c>
      <c r="C962" s="38"/>
      <c r="D962" s="38"/>
      <c r="E962" s="39"/>
      <c r="F962" s="39" t="s">
        <v>1183</v>
      </c>
      <c r="G962" s="44">
        <v>0.3</v>
      </c>
      <c r="H962" s="39" t="s">
        <v>101</v>
      </c>
      <c r="I962" s="39" t="s">
        <v>102</v>
      </c>
      <c r="J962" s="41">
        <v>3000</v>
      </c>
      <c r="K962" s="42">
        <v>23.1</v>
      </c>
      <c r="L962" s="43"/>
      <c r="M962" s="43">
        <f>L962*K962</f>
        <v>0</v>
      </c>
      <c r="N962" s="35">
        <v>4607015182088</v>
      </c>
    </row>
    <row r="963" spans="1:14" ht="36" customHeight="1" outlineLevel="3" x14ac:dyDescent="0.2">
      <c r="A963" s="45">
        <v>13507</v>
      </c>
      <c r="B963" s="37" t="str">
        <f>HYPERLINK("http://www.sedek.ru/upload/iblock/d80/ogurets_boris_f1.jpg","фото")</f>
        <v>фото</v>
      </c>
      <c r="C963" s="38"/>
      <c r="D963" s="38"/>
      <c r="E963" s="39"/>
      <c r="F963" s="39" t="s">
        <v>1184</v>
      </c>
      <c r="G963" s="44">
        <v>0.3</v>
      </c>
      <c r="H963" s="39" t="s">
        <v>101</v>
      </c>
      <c r="I963" s="39" t="s">
        <v>287</v>
      </c>
      <c r="J963" s="41">
        <v>3000</v>
      </c>
      <c r="K963" s="42">
        <v>12.7</v>
      </c>
      <c r="L963" s="43"/>
      <c r="M963" s="43">
        <f>L963*K963</f>
        <v>0</v>
      </c>
      <c r="N963" s="35">
        <v>4607149409532</v>
      </c>
    </row>
    <row r="964" spans="1:14" ht="24" customHeight="1" outlineLevel="3" x14ac:dyDescent="0.2">
      <c r="A964" s="45">
        <v>16186</v>
      </c>
      <c r="B964" s="37" t="str">
        <f>HYPERLINK("http://www.sedek.ru/upload/iblock/8cc/ogurets_bochkovoy_zasol.jpg","фото")</f>
        <v>фото</v>
      </c>
      <c r="C964" s="38"/>
      <c r="D964" s="38"/>
      <c r="E964" s="39"/>
      <c r="F964" s="39" t="s">
        <v>1185</v>
      </c>
      <c r="G964" s="44">
        <v>0.5</v>
      </c>
      <c r="H964" s="39" t="s">
        <v>101</v>
      </c>
      <c r="I964" s="39" t="s">
        <v>102</v>
      </c>
      <c r="J964" s="41">
        <v>3000</v>
      </c>
      <c r="K964" s="42">
        <v>19.3</v>
      </c>
      <c r="L964" s="43"/>
      <c r="M964" s="43">
        <f>L964*K964</f>
        <v>0</v>
      </c>
      <c r="N964" s="35">
        <v>4607149404773</v>
      </c>
    </row>
    <row r="965" spans="1:14" ht="36" customHeight="1" outlineLevel="3" x14ac:dyDescent="0.2">
      <c r="A965" s="36" t="s">
        <v>1186</v>
      </c>
      <c r="B965" s="37" t="str">
        <f>HYPERLINK("http://www.sedek.ru/upload/iblock/9b5/ogurets_vernyy_druzhok_f1.jpg","Фото")</f>
        <v>Фото</v>
      </c>
      <c r="C965" s="38"/>
      <c r="D965" s="38" t="s">
        <v>266</v>
      </c>
      <c r="E965" s="39"/>
      <c r="F965" s="39" t="s">
        <v>1187</v>
      </c>
      <c r="G965" s="44">
        <v>0.2</v>
      </c>
      <c r="H965" s="39" t="s">
        <v>101</v>
      </c>
      <c r="I965" s="39" t="s">
        <v>102</v>
      </c>
      <c r="J965" s="41">
        <v>4000</v>
      </c>
      <c r="K965" s="42">
        <v>33.9</v>
      </c>
      <c r="L965" s="43"/>
      <c r="M965" s="43">
        <f>L965*K965</f>
        <v>0</v>
      </c>
      <c r="N965" s="35">
        <v>4690368028691</v>
      </c>
    </row>
    <row r="966" spans="1:14" ht="36" customHeight="1" outlineLevel="3" x14ac:dyDescent="0.2">
      <c r="A966" s="45">
        <v>13995</v>
      </c>
      <c r="B966" s="37" t="str">
        <f>HYPERLINK("http://www.sedek.ru/upload/iblock/19e/ogurets_veselaya_kompaniya_f1.jpg","фото")</f>
        <v>фото</v>
      </c>
      <c r="C966" s="38"/>
      <c r="D966" s="38"/>
      <c r="E966" s="39" t="s">
        <v>1188</v>
      </c>
      <c r="F966" s="39" t="s">
        <v>1189</v>
      </c>
      <c r="G966" s="44">
        <v>0.2</v>
      </c>
      <c r="H966" s="39" t="s">
        <v>101</v>
      </c>
      <c r="I966" s="39" t="s">
        <v>102</v>
      </c>
      <c r="J966" s="41">
        <v>4000</v>
      </c>
      <c r="K966" s="42">
        <v>51.1</v>
      </c>
      <c r="L966" s="43"/>
      <c r="M966" s="43">
        <f>L966*K966</f>
        <v>0</v>
      </c>
      <c r="N966" s="35">
        <v>4607015182149</v>
      </c>
    </row>
    <row r="967" spans="1:14" ht="36" customHeight="1" outlineLevel="3" x14ac:dyDescent="0.2">
      <c r="A967" s="45">
        <v>13819</v>
      </c>
      <c r="B967" s="37" t="str">
        <f>HYPERLINK("http://sedek.ru/upload/iblock/25c/ogurets_vesenniy_kapriz_f1.jpg","фото")</f>
        <v>фото</v>
      </c>
      <c r="C967" s="38"/>
      <c r="D967" s="38"/>
      <c r="E967" s="39"/>
      <c r="F967" s="39" t="s">
        <v>1190</v>
      </c>
      <c r="G967" s="44">
        <v>0.2</v>
      </c>
      <c r="H967" s="39" t="s">
        <v>101</v>
      </c>
      <c r="I967" s="39" t="s">
        <v>102</v>
      </c>
      <c r="J967" s="41">
        <v>4000</v>
      </c>
      <c r="K967" s="42">
        <v>31.9</v>
      </c>
      <c r="L967" s="43"/>
      <c r="M967" s="43">
        <f>L967*K967</f>
        <v>0</v>
      </c>
      <c r="N967" s="35">
        <v>4607015182187</v>
      </c>
    </row>
    <row r="968" spans="1:14" ht="36" customHeight="1" outlineLevel="3" x14ac:dyDescent="0.2">
      <c r="A968" s="45">
        <v>14426</v>
      </c>
      <c r="B968" s="37" t="str">
        <f>HYPERLINK("http://sedek.ru/upload/iblock/135/ogurets_vesna_f1.jpg","фото")</f>
        <v>фото</v>
      </c>
      <c r="C968" s="38"/>
      <c r="D968" s="38"/>
      <c r="E968" s="39" t="s">
        <v>1180</v>
      </c>
      <c r="F968" s="39" t="s">
        <v>1191</v>
      </c>
      <c r="G968" s="44">
        <v>0.2</v>
      </c>
      <c r="H968" s="39" t="s">
        <v>101</v>
      </c>
      <c r="I968" s="39" t="s">
        <v>102</v>
      </c>
      <c r="J968" s="41">
        <v>4000</v>
      </c>
      <c r="K968" s="42">
        <v>50.5</v>
      </c>
      <c r="L968" s="43"/>
      <c r="M968" s="43">
        <f>L968*K968</f>
        <v>0</v>
      </c>
      <c r="N968" s="35">
        <v>4607015182200</v>
      </c>
    </row>
    <row r="969" spans="1:14" ht="36" customHeight="1" outlineLevel="3" x14ac:dyDescent="0.2">
      <c r="A969" s="36" t="s">
        <v>1192</v>
      </c>
      <c r="B969" s="37" t="str">
        <f>HYPERLINK("http://sedek.ru/upload/iblock/f23/ogurets_vivaldi_f1.jpg","фото")</f>
        <v>фото</v>
      </c>
      <c r="C969" s="38"/>
      <c r="D969" s="38"/>
      <c r="E969" s="39" t="s">
        <v>1175</v>
      </c>
      <c r="F969" s="39" t="s">
        <v>1193</v>
      </c>
      <c r="G969" s="40">
        <v>3</v>
      </c>
      <c r="H969" s="39" t="s">
        <v>307</v>
      </c>
      <c r="I969" s="39" t="s">
        <v>102</v>
      </c>
      <c r="J969" s="41">
        <v>4000</v>
      </c>
      <c r="K969" s="42">
        <v>118.9</v>
      </c>
      <c r="L969" s="43"/>
      <c r="M969" s="43">
        <f>L969*K969</f>
        <v>0</v>
      </c>
      <c r="N969" s="35">
        <v>4690368026574</v>
      </c>
    </row>
    <row r="970" spans="1:14" ht="24" customHeight="1" outlineLevel="3" x14ac:dyDescent="0.2">
      <c r="A970" s="45">
        <v>15757</v>
      </c>
      <c r="B970" s="37" t="str">
        <f>HYPERLINK("http://sedek.ru/upload/iblock/b91/ogurets_vivat_f1.jpg","фото")</f>
        <v>фото</v>
      </c>
      <c r="C970" s="38"/>
      <c r="D970" s="38"/>
      <c r="E970" s="39"/>
      <c r="F970" s="39" t="s">
        <v>1194</v>
      </c>
      <c r="G970" s="44">
        <v>0.3</v>
      </c>
      <c r="H970" s="39" t="s">
        <v>101</v>
      </c>
      <c r="I970" s="39" t="s">
        <v>102</v>
      </c>
      <c r="J970" s="41">
        <v>3000</v>
      </c>
      <c r="K970" s="42">
        <v>20</v>
      </c>
      <c r="L970" s="43"/>
      <c r="M970" s="43">
        <f>L970*K970</f>
        <v>0</v>
      </c>
      <c r="N970" s="35">
        <v>4607015182248</v>
      </c>
    </row>
    <row r="971" spans="1:14" ht="24" customHeight="1" outlineLevel="3" x14ac:dyDescent="0.2">
      <c r="A971" s="45">
        <v>15585</v>
      </c>
      <c r="B971" s="37" t="str">
        <f>HYPERLINK("http://www.sedek.ru/upload/iblock/662/ogurets_vodoley.jpg","фото")</f>
        <v>фото</v>
      </c>
      <c r="C971" s="38"/>
      <c r="D971" s="38"/>
      <c r="E971" s="39"/>
      <c r="F971" s="39" t="s">
        <v>1195</v>
      </c>
      <c r="G971" s="44">
        <v>0.5</v>
      </c>
      <c r="H971" s="39" t="s">
        <v>101</v>
      </c>
      <c r="I971" s="39" t="s">
        <v>102</v>
      </c>
      <c r="J971" s="41">
        <v>3000</v>
      </c>
      <c r="K971" s="42">
        <v>15.6</v>
      </c>
      <c r="L971" s="43"/>
      <c r="M971" s="43">
        <f>L971*K971</f>
        <v>0</v>
      </c>
      <c r="N971" s="35">
        <v>4607015182286</v>
      </c>
    </row>
    <row r="972" spans="1:14" ht="36" customHeight="1" outlineLevel="3" x14ac:dyDescent="0.2">
      <c r="A972" s="45">
        <v>13505</v>
      </c>
      <c r="B972" s="37" t="str">
        <f>HYPERLINK("http://sedek.ru/upload/iblock/2eb/ogurets_gerda_f1.jpg","фото")</f>
        <v>фото</v>
      </c>
      <c r="C972" s="38"/>
      <c r="D972" s="38"/>
      <c r="E972" s="39" t="s">
        <v>1188</v>
      </c>
      <c r="F972" s="39" t="s">
        <v>1196</v>
      </c>
      <c r="G972" s="44">
        <v>0.3</v>
      </c>
      <c r="H972" s="39" t="s">
        <v>101</v>
      </c>
      <c r="I972" s="39" t="s">
        <v>102</v>
      </c>
      <c r="J972" s="41">
        <v>3000</v>
      </c>
      <c r="K972" s="42">
        <v>28.5</v>
      </c>
      <c r="L972" s="43"/>
      <c r="M972" s="43">
        <f>L972*K972</f>
        <v>0</v>
      </c>
      <c r="N972" s="35">
        <v>4607015182309</v>
      </c>
    </row>
    <row r="973" spans="1:14" ht="24" customHeight="1" outlineLevel="3" x14ac:dyDescent="0.2">
      <c r="A973" s="45">
        <v>16245</v>
      </c>
      <c r="B973" s="37" t="str">
        <f>HYPERLINK("http://sedek.ru/upload/iblock/5fb/ogurets_ginga_f1.jpg","фото")</f>
        <v>фото</v>
      </c>
      <c r="C973" s="38"/>
      <c r="D973" s="38"/>
      <c r="E973" s="39"/>
      <c r="F973" s="39" t="s">
        <v>1197</v>
      </c>
      <c r="G973" s="44">
        <v>0.2</v>
      </c>
      <c r="H973" s="39" t="s">
        <v>101</v>
      </c>
      <c r="I973" s="39" t="s">
        <v>102</v>
      </c>
      <c r="J973" s="41">
        <v>4000</v>
      </c>
      <c r="K973" s="42">
        <v>26.6</v>
      </c>
      <c r="L973" s="43"/>
      <c r="M973" s="43">
        <f>L973*K973</f>
        <v>0</v>
      </c>
      <c r="N973" s="35">
        <v>4690368015127</v>
      </c>
    </row>
    <row r="974" spans="1:14" ht="24" customHeight="1" outlineLevel="3" x14ac:dyDescent="0.2">
      <c r="A974" s="45">
        <v>16424</v>
      </c>
      <c r="B974" s="37" t="str">
        <f>HYPERLINK("http://www.sedek.ru/upload/iblock/0d3/ogurets_golubchik_f1.jpg","фото")</f>
        <v>фото</v>
      </c>
      <c r="C974" s="38"/>
      <c r="D974" s="38"/>
      <c r="E974" s="39"/>
      <c r="F974" s="39" t="s">
        <v>1198</v>
      </c>
      <c r="G974" s="44">
        <v>0.3</v>
      </c>
      <c r="H974" s="39" t="s">
        <v>101</v>
      </c>
      <c r="I974" s="39" t="s">
        <v>102</v>
      </c>
      <c r="J974" s="41">
        <v>3000</v>
      </c>
      <c r="K974" s="42">
        <v>18.8</v>
      </c>
      <c r="L974" s="43"/>
      <c r="M974" s="43">
        <f>L974*K974</f>
        <v>0</v>
      </c>
      <c r="N974" s="35">
        <v>4607015182323</v>
      </c>
    </row>
    <row r="975" spans="1:14" ht="24" customHeight="1" outlineLevel="3" x14ac:dyDescent="0.2">
      <c r="A975" s="45">
        <v>16424</v>
      </c>
      <c r="B975" s="37" t="str">
        <f>HYPERLINK("http://www.sedek.ru/upload/iblock/0d3/ogurets_golubchik_f1.jpg","фото")</f>
        <v>фото</v>
      </c>
      <c r="C975" s="38"/>
      <c r="D975" s="38"/>
      <c r="E975" s="39"/>
      <c r="F975" s="39" t="s">
        <v>1199</v>
      </c>
      <c r="G975" s="44">
        <v>0.3</v>
      </c>
      <c r="H975" s="39" t="s">
        <v>101</v>
      </c>
      <c r="I975" s="39" t="s">
        <v>287</v>
      </c>
      <c r="J975" s="41">
        <v>3000</v>
      </c>
      <c r="K975" s="42">
        <v>8.9</v>
      </c>
      <c r="L975" s="43"/>
      <c r="M975" s="43">
        <f>L975*K975</f>
        <v>0</v>
      </c>
      <c r="N975" s="35">
        <v>4607149409549</v>
      </c>
    </row>
    <row r="976" spans="1:14" ht="24" customHeight="1" outlineLevel="3" x14ac:dyDescent="0.2">
      <c r="A976" s="45">
        <v>16466</v>
      </c>
      <c r="B976" s="37" t="str">
        <f>HYPERLINK("http://sedek.ru/upload/iblock/24d/ogurets_gurman.jpg","фото")</f>
        <v>фото</v>
      </c>
      <c r="C976" s="38"/>
      <c r="D976" s="38"/>
      <c r="E976" s="39"/>
      <c r="F976" s="39" t="s">
        <v>1200</v>
      </c>
      <c r="G976" s="44">
        <v>0.5</v>
      </c>
      <c r="H976" s="39" t="s">
        <v>101</v>
      </c>
      <c r="I976" s="39" t="s">
        <v>102</v>
      </c>
      <c r="J976" s="41">
        <v>3000</v>
      </c>
      <c r="K976" s="42">
        <v>20</v>
      </c>
      <c r="L976" s="43"/>
      <c r="M976" s="43">
        <f>L976*K976</f>
        <v>0</v>
      </c>
      <c r="N976" s="35">
        <v>4607015182347</v>
      </c>
    </row>
    <row r="977" spans="1:14" ht="36" customHeight="1" outlineLevel="3" x14ac:dyDescent="0.2">
      <c r="A977" s="45">
        <v>16414</v>
      </c>
      <c r="B977" s="37" t="str">
        <f>HYPERLINK("http://sedek.ru/upload/iblock/1ad/ogurets_damskiy_kapriz_f1.jpg","фото")</f>
        <v>фото</v>
      </c>
      <c r="C977" s="38"/>
      <c r="D977" s="38"/>
      <c r="E977" s="39"/>
      <c r="F977" s="39" t="s">
        <v>1201</v>
      </c>
      <c r="G977" s="44">
        <v>0.2</v>
      </c>
      <c r="H977" s="39" t="s">
        <v>101</v>
      </c>
      <c r="I977" s="39" t="s">
        <v>102</v>
      </c>
      <c r="J977" s="41">
        <v>4000</v>
      </c>
      <c r="K977" s="42">
        <v>33.9</v>
      </c>
      <c r="L977" s="43"/>
      <c r="M977" s="43">
        <f>L977*K977</f>
        <v>0</v>
      </c>
      <c r="N977" s="35">
        <v>4690368014922</v>
      </c>
    </row>
    <row r="978" spans="1:14" ht="36" customHeight="1" outlineLevel="3" x14ac:dyDescent="0.2">
      <c r="A978" s="45">
        <v>16417</v>
      </c>
      <c r="B978" s="37" t="str">
        <f>HYPERLINK("http://sedek.ru/upload/iblock/f94/ogurets_dachnik_f1.jpg","фото")</f>
        <v>фото</v>
      </c>
      <c r="C978" s="38"/>
      <c r="D978" s="38"/>
      <c r="E978" s="39"/>
      <c r="F978" s="39" t="s">
        <v>1202</v>
      </c>
      <c r="G978" s="44">
        <v>0.2</v>
      </c>
      <c r="H978" s="39" t="s">
        <v>101</v>
      </c>
      <c r="I978" s="39" t="s">
        <v>102</v>
      </c>
      <c r="J978" s="41">
        <v>4000</v>
      </c>
      <c r="K978" s="42">
        <v>29.3</v>
      </c>
      <c r="L978" s="43"/>
      <c r="M978" s="43">
        <f>L978*K978</f>
        <v>0</v>
      </c>
      <c r="N978" s="35">
        <v>4690368014939</v>
      </c>
    </row>
    <row r="979" spans="1:14" ht="36" customHeight="1" outlineLevel="3" x14ac:dyDescent="0.2">
      <c r="A979" s="45">
        <v>15171</v>
      </c>
      <c r="B979" s="37" t="str">
        <f>HYPERLINK("http://sedek.ru/upload/iblock/3f8/ogurets_denek_f1.JPG","фото")</f>
        <v>фото</v>
      </c>
      <c r="C979" s="38"/>
      <c r="D979" s="38" t="s">
        <v>266</v>
      </c>
      <c r="E979" s="39" t="s">
        <v>1188</v>
      </c>
      <c r="F979" s="39" t="s">
        <v>1203</v>
      </c>
      <c r="G979" s="44">
        <v>0.3</v>
      </c>
      <c r="H979" s="39" t="s">
        <v>101</v>
      </c>
      <c r="I979" s="39" t="s">
        <v>102</v>
      </c>
      <c r="J979" s="41">
        <v>3000</v>
      </c>
      <c r="K979" s="42">
        <v>24.1</v>
      </c>
      <c r="L979" s="43"/>
      <c r="M979" s="43">
        <f>L979*K979</f>
        <v>0</v>
      </c>
      <c r="N979" s="35">
        <v>4607015182385</v>
      </c>
    </row>
    <row r="980" spans="1:14" ht="36" customHeight="1" outlineLevel="3" x14ac:dyDescent="0.2">
      <c r="A980" s="36" t="s">
        <v>1204</v>
      </c>
      <c r="B980" s="37" t="str">
        <f>HYPERLINK("http://sedek.ru/upload/iblock/43c/ogurets_detskiy_kapriz_f1.jpg","фото")</f>
        <v>фото</v>
      </c>
      <c r="C980" s="38"/>
      <c r="D980" s="38"/>
      <c r="E980" s="39"/>
      <c r="F980" s="39" t="s">
        <v>1205</v>
      </c>
      <c r="G980" s="44">
        <v>0.2</v>
      </c>
      <c r="H980" s="39" t="s">
        <v>101</v>
      </c>
      <c r="I980" s="39" t="s">
        <v>102</v>
      </c>
      <c r="J980" s="41">
        <v>4000</v>
      </c>
      <c r="K980" s="42">
        <v>32.299999999999997</v>
      </c>
      <c r="L980" s="43"/>
      <c r="M980" s="43">
        <f>L980*K980</f>
        <v>0</v>
      </c>
      <c r="N980" s="35">
        <v>4690368028707</v>
      </c>
    </row>
    <row r="981" spans="1:14" ht="24" customHeight="1" outlineLevel="3" x14ac:dyDescent="0.2">
      <c r="A981" s="45">
        <v>14006</v>
      </c>
      <c r="B981" s="37" t="str">
        <f>HYPERLINK("http://sedek.ru/upload/iblock/8f8/ogurets_dzhin_f1.jpg","фото")</f>
        <v>фото</v>
      </c>
      <c r="C981" s="38"/>
      <c r="D981" s="38" t="s">
        <v>266</v>
      </c>
      <c r="E981" s="39" t="s">
        <v>1188</v>
      </c>
      <c r="F981" s="39" t="s">
        <v>1206</v>
      </c>
      <c r="G981" s="44">
        <v>0.3</v>
      </c>
      <c r="H981" s="39" t="s">
        <v>101</v>
      </c>
      <c r="I981" s="39" t="s">
        <v>102</v>
      </c>
      <c r="J981" s="41">
        <v>3000</v>
      </c>
      <c r="K981" s="42">
        <v>25.3</v>
      </c>
      <c r="L981" s="43"/>
      <c r="M981" s="43">
        <f>L981*K981</f>
        <v>0</v>
      </c>
      <c r="N981" s="35">
        <v>4607015182408</v>
      </c>
    </row>
    <row r="982" spans="1:14" ht="36" customHeight="1" outlineLevel="3" x14ac:dyDescent="0.2">
      <c r="A982" s="45">
        <v>15629</v>
      </c>
      <c r="B982" s="37" t="str">
        <f>HYPERLINK("http://www.sedek.ru/upload/iblock/8bb/ogurets_divo_divnoe_f1.jpg","фото")</f>
        <v>фото</v>
      </c>
      <c r="C982" s="38"/>
      <c r="D982" s="38"/>
      <c r="E982" s="39"/>
      <c r="F982" s="39" t="s">
        <v>1207</v>
      </c>
      <c r="G982" s="44">
        <v>0.2</v>
      </c>
      <c r="H982" s="39" t="s">
        <v>101</v>
      </c>
      <c r="I982" s="39" t="s">
        <v>102</v>
      </c>
      <c r="J982" s="41">
        <v>4000</v>
      </c>
      <c r="K982" s="42">
        <v>37.6</v>
      </c>
      <c r="L982" s="43"/>
      <c r="M982" s="43">
        <f>L982*K982</f>
        <v>0</v>
      </c>
      <c r="N982" s="35">
        <v>4690368014465</v>
      </c>
    </row>
    <row r="983" spans="1:14" ht="36" customHeight="1" outlineLevel="3" x14ac:dyDescent="0.2">
      <c r="A983" s="45">
        <v>16246</v>
      </c>
      <c r="B983" s="37" t="str">
        <f>HYPERLINK("http://sedek.ru/upload/iblock/26b/ogurets_dobryy_molodets_f1.jpg","фото")</f>
        <v>фото</v>
      </c>
      <c r="C983" s="38"/>
      <c r="D983" s="38"/>
      <c r="E983" s="39"/>
      <c r="F983" s="39" t="s">
        <v>1208</v>
      </c>
      <c r="G983" s="44">
        <v>0.2</v>
      </c>
      <c r="H983" s="39" t="s">
        <v>101</v>
      </c>
      <c r="I983" s="39" t="s">
        <v>102</v>
      </c>
      <c r="J983" s="41">
        <v>4000</v>
      </c>
      <c r="K983" s="42">
        <v>54.5</v>
      </c>
      <c r="L983" s="43"/>
      <c r="M983" s="43">
        <f>L983*K983</f>
        <v>0</v>
      </c>
      <c r="N983" s="35">
        <v>4690368014489</v>
      </c>
    </row>
    <row r="984" spans="1:14" ht="36" customHeight="1" outlineLevel="3" x14ac:dyDescent="0.2">
      <c r="A984" s="45">
        <v>14162</v>
      </c>
      <c r="B984" s="37" t="str">
        <f>HYPERLINK("http://sedek.ru/upload/iblock/12f/ogurets_donskoy_passazh_f1.jpg","фото")</f>
        <v>фото</v>
      </c>
      <c r="C984" s="38"/>
      <c r="D984" s="38"/>
      <c r="E984" s="39"/>
      <c r="F984" s="39" t="s">
        <v>1209</v>
      </c>
      <c r="G984" s="44">
        <v>0.2</v>
      </c>
      <c r="H984" s="39" t="s">
        <v>101</v>
      </c>
      <c r="I984" s="39" t="s">
        <v>102</v>
      </c>
      <c r="J984" s="41">
        <v>4000</v>
      </c>
      <c r="K984" s="42">
        <v>31.6</v>
      </c>
      <c r="L984" s="43"/>
      <c r="M984" s="43">
        <f>L984*K984</f>
        <v>0</v>
      </c>
      <c r="N984" s="35">
        <v>4690368016957</v>
      </c>
    </row>
    <row r="985" spans="1:14" ht="36" customHeight="1" outlineLevel="3" x14ac:dyDescent="0.2">
      <c r="A985" s="45">
        <v>14794</v>
      </c>
      <c r="B985" s="37" t="str">
        <f>HYPERLINK("http://sedek.ru/upload/iblock/e43/ogurets_druzhnaya_semeyka_f1.jpg","фото")</f>
        <v>фото</v>
      </c>
      <c r="C985" s="38"/>
      <c r="D985" s="38"/>
      <c r="E985" s="39" t="s">
        <v>1188</v>
      </c>
      <c r="F985" s="39" t="s">
        <v>1210</v>
      </c>
      <c r="G985" s="44">
        <v>0.2</v>
      </c>
      <c r="H985" s="39" t="s">
        <v>101</v>
      </c>
      <c r="I985" s="39" t="s">
        <v>102</v>
      </c>
      <c r="J985" s="41">
        <v>4000</v>
      </c>
      <c r="K985" s="42">
        <v>54.7</v>
      </c>
      <c r="L985" s="43"/>
      <c r="M985" s="43">
        <f>L985*K985</f>
        <v>0</v>
      </c>
      <c r="N985" s="35">
        <v>4607015182422</v>
      </c>
    </row>
    <row r="986" spans="1:14" ht="36" customHeight="1" outlineLevel="3" x14ac:dyDescent="0.2">
      <c r="A986" s="45">
        <v>13957</v>
      </c>
      <c r="B986" s="37" t="str">
        <f>HYPERLINK("http://sedek.ru/upload/iblock/1cc/ogurets_druzhok_f1.jpg","фото")</f>
        <v>фото</v>
      </c>
      <c r="C986" s="38"/>
      <c r="D986" s="38"/>
      <c r="E986" s="39"/>
      <c r="F986" s="39" t="s">
        <v>1211</v>
      </c>
      <c r="G986" s="44">
        <v>0.3</v>
      </c>
      <c r="H986" s="39" t="s">
        <v>101</v>
      </c>
      <c r="I986" s="39" t="s">
        <v>102</v>
      </c>
      <c r="J986" s="41">
        <v>3000</v>
      </c>
      <c r="K986" s="42">
        <v>26.3</v>
      </c>
      <c r="L986" s="43"/>
      <c r="M986" s="43">
        <f>L986*K986</f>
        <v>0</v>
      </c>
      <c r="N986" s="35">
        <v>4690368012850</v>
      </c>
    </row>
    <row r="987" spans="1:14" ht="24" customHeight="1" outlineLevel="3" x14ac:dyDescent="0.2">
      <c r="A987" s="45">
        <v>14294</v>
      </c>
      <c r="B987" s="37" t="str">
        <f>HYPERLINK("http://www.sedek.ru/upload/iblock/d19/ogurets_edinstvo.jpg","фото")</f>
        <v>фото</v>
      </c>
      <c r="C987" s="38"/>
      <c r="D987" s="38"/>
      <c r="E987" s="39"/>
      <c r="F987" s="39" t="s">
        <v>1212</v>
      </c>
      <c r="G987" s="44">
        <v>0.5</v>
      </c>
      <c r="H987" s="39" t="s">
        <v>101</v>
      </c>
      <c r="I987" s="39" t="s">
        <v>102</v>
      </c>
      <c r="J987" s="41">
        <v>3000</v>
      </c>
      <c r="K987" s="42">
        <v>16.399999999999999</v>
      </c>
      <c r="L987" s="43"/>
      <c r="M987" s="43">
        <f>L987*K987</f>
        <v>0</v>
      </c>
      <c r="N987" s="35">
        <v>4607015182460</v>
      </c>
    </row>
    <row r="988" spans="1:14" ht="36" customHeight="1" outlineLevel="3" x14ac:dyDescent="0.2">
      <c r="A988" s="45">
        <v>15934</v>
      </c>
      <c r="B988" s="37" t="str">
        <f>HYPERLINK("http://sedek.ru/upload/iblock/a8b/ogurets_ekaterina_f1.jpg","фото")</f>
        <v>фото</v>
      </c>
      <c r="C988" s="38"/>
      <c r="D988" s="38" t="s">
        <v>266</v>
      </c>
      <c r="E988" s="39"/>
      <c r="F988" s="39" t="s">
        <v>1213</v>
      </c>
      <c r="G988" s="44">
        <v>0.2</v>
      </c>
      <c r="H988" s="39" t="s">
        <v>101</v>
      </c>
      <c r="I988" s="39" t="s">
        <v>102</v>
      </c>
      <c r="J988" s="41">
        <v>4000</v>
      </c>
      <c r="K988" s="42">
        <v>53.6</v>
      </c>
      <c r="L988" s="43"/>
      <c r="M988" s="43">
        <f>L988*K988</f>
        <v>0</v>
      </c>
      <c r="N988" s="35">
        <v>4690368014823</v>
      </c>
    </row>
    <row r="989" spans="1:14" ht="24" customHeight="1" outlineLevel="3" x14ac:dyDescent="0.2">
      <c r="A989" s="45">
        <v>15933</v>
      </c>
      <c r="B989" s="37" t="str">
        <f>HYPERLINK("http://sedek.ru/upload/iblock/287/ogurets_elizaveta_f1.jpg","фото")</f>
        <v>фото</v>
      </c>
      <c r="C989" s="38"/>
      <c r="D989" s="38" t="s">
        <v>266</v>
      </c>
      <c r="E989" s="39"/>
      <c r="F989" s="39" t="s">
        <v>1214</v>
      </c>
      <c r="G989" s="44">
        <v>0.2</v>
      </c>
      <c r="H989" s="39" t="s">
        <v>101</v>
      </c>
      <c r="I989" s="39" t="s">
        <v>102</v>
      </c>
      <c r="J989" s="41">
        <v>4000</v>
      </c>
      <c r="K989" s="42">
        <v>53.6</v>
      </c>
      <c r="L989" s="43"/>
      <c r="M989" s="43">
        <f>L989*K989</f>
        <v>0</v>
      </c>
      <c r="N989" s="35">
        <v>4690368014830</v>
      </c>
    </row>
    <row r="990" spans="1:14" ht="36" customHeight="1" outlineLevel="3" x14ac:dyDescent="0.2">
      <c r="A990" s="36" t="s">
        <v>1215</v>
      </c>
      <c r="B990" s="37" t="str">
        <f>HYPERLINK("http://sedek.ru/upload/iblock/268/ogurets_zhenskie_palchiki_f1.jpg","фото")</f>
        <v>фото</v>
      </c>
      <c r="C990" s="38"/>
      <c r="D990" s="38" t="s">
        <v>266</v>
      </c>
      <c r="E990" s="39"/>
      <c r="F990" s="39" t="s">
        <v>1216</v>
      </c>
      <c r="G990" s="44">
        <v>0.2</v>
      </c>
      <c r="H990" s="39" t="s">
        <v>101</v>
      </c>
      <c r="I990" s="39" t="s">
        <v>102</v>
      </c>
      <c r="J990" s="41">
        <v>3000</v>
      </c>
      <c r="K990" s="42">
        <v>36.5</v>
      </c>
      <c r="L990" s="43"/>
      <c r="M990" s="43">
        <f>L990*K990</f>
        <v>0</v>
      </c>
      <c r="N990" s="35">
        <v>4690368035453</v>
      </c>
    </row>
    <row r="991" spans="1:14" ht="36" customHeight="1" outlineLevel="3" x14ac:dyDescent="0.2">
      <c r="A991" s="45">
        <v>16141</v>
      </c>
      <c r="B991" s="37" t="str">
        <f>HYPERLINK("http://sedek.ru/upload/iblock/b80/ogurets_zhuravlenok_f1.jpg","фото")</f>
        <v>фото</v>
      </c>
      <c r="C991" s="38"/>
      <c r="D991" s="38"/>
      <c r="E991" s="39"/>
      <c r="F991" s="39" t="s">
        <v>1217</v>
      </c>
      <c r="G991" s="44">
        <v>0.3</v>
      </c>
      <c r="H991" s="39" t="s">
        <v>101</v>
      </c>
      <c r="I991" s="39" t="s">
        <v>102</v>
      </c>
      <c r="J991" s="41">
        <v>3000</v>
      </c>
      <c r="K991" s="42">
        <v>16.399999999999999</v>
      </c>
      <c r="L991" s="43"/>
      <c r="M991" s="43">
        <f>L991*K991</f>
        <v>0</v>
      </c>
      <c r="N991" s="35">
        <v>4607015182484</v>
      </c>
    </row>
    <row r="992" spans="1:14" ht="36" customHeight="1" outlineLevel="3" x14ac:dyDescent="0.2">
      <c r="A992" s="36" t="s">
        <v>1218</v>
      </c>
      <c r="B992" s="37" t="str">
        <f>HYPERLINK("http://sedek.ru/upload/iblock/84a/ogurets_zabava_f1.jpg","фото")</f>
        <v>фото</v>
      </c>
      <c r="C992" s="38"/>
      <c r="D992" s="38"/>
      <c r="E992" s="39"/>
      <c r="F992" s="39" t="s">
        <v>1219</v>
      </c>
      <c r="G992" s="44">
        <v>0.2</v>
      </c>
      <c r="H992" s="39" t="s">
        <v>101</v>
      </c>
      <c r="I992" s="39" t="s">
        <v>102</v>
      </c>
      <c r="J992" s="41">
        <v>4000</v>
      </c>
      <c r="K992" s="42">
        <v>28</v>
      </c>
      <c r="L992" s="43"/>
      <c r="M992" s="43">
        <f>L992*K992</f>
        <v>0</v>
      </c>
      <c r="N992" s="35">
        <v>4690368026536</v>
      </c>
    </row>
    <row r="993" spans="1:14" ht="36" customHeight="1" outlineLevel="3" x14ac:dyDescent="0.2">
      <c r="A993" s="45">
        <v>15964</v>
      </c>
      <c r="B993" s="37" t="str">
        <f>HYPERLINK("http://sedek.ru/upload/iblock/877/ogurets_zador_f1.jpg","фото")</f>
        <v>фото</v>
      </c>
      <c r="C993" s="38"/>
      <c r="D993" s="38"/>
      <c r="E993" s="39"/>
      <c r="F993" s="39" t="s">
        <v>1220</v>
      </c>
      <c r="G993" s="44">
        <v>0.2</v>
      </c>
      <c r="H993" s="39" t="s">
        <v>101</v>
      </c>
      <c r="I993" s="39" t="s">
        <v>102</v>
      </c>
      <c r="J993" s="41">
        <v>4000</v>
      </c>
      <c r="K993" s="42">
        <v>32.299999999999997</v>
      </c>
      <c r="L993" s="43"/>
      <c r="M993" s="43">
        <f>L993*K993</f>
        <v>0</v>
      </c>
      <c r="N993" s="35">
        <v>4690368015264</v>
      </c>
    </row>
    <row r="994" spans="1:14" ht="36" customHeight="1" outlineLevel="3" x14ac:dyDescent="0.2">
      <c r="A994" s="45">
        <v>15335</v>
      </c>
      <c r="B994" s="37" t="str">
        <f>HYPERLINK("http://sedek.ru/upload/iblock/886/ogurets_zakuson_f1.jpg","фото")</f>
        <v>фото</v>
      </c>
      <c r="C994" s="38"/>
      <c r="D994" s="38"/>
      <c r="E994" s="39"/>
      <c r="F994" s="39" t="s">
        <v>1221</v>
      </c>
      <c r="G994" s="44">
        <v>0.3</v>
      </c>
      <c r="H994" s="39" t="s">
        <v>101</v>
      </c>
      <c r="I994" s="39" t="s">
        <v>102</v>
      </c>
      <c r="J994" s="41">
        <v>3000</v>
      </c>
      <c r="K994" s="42">
        <v>21.6</v>
      </c>
      <c r="L994" s="43"/>
      <c r="M994" s="43">
        <f>L994*K994</f>
        <v>0</v>
      </c>
      <c r="N994" s="35">
        <v>4690368009454</v>
      </c>
    </row>
    <row r="995" spans="1:14" ht="36" customHeight="1" outlineLevel="3" x14ac:dyDescent="0.2">
      <c r="A995" s="45">
        <v>15825</v>
      </c>
      <c r="B995" s="37" t="str">
        <f>HYPERLINK("http://sedek.ru/upload/iblock/baa/ogurets_zasolochnyy.jpg","фото")</f>
        <v>фото</v>
      </c>
      <c r="C995" s="38"/>
      <c r="D995" s="38"/>
      <c r="E995" s="39"/>
      <c r="F995" s="39" t="s">
        <v>1222</v>
      </c>
      <c r="G995" s="44">
        <v>0.3</v>
      </c>
      <c r="H995" s="39" t="s">
        <v>101</v>
      </c>
      <c r="I995" s="39" t="s">
        <v>102</v>
      </c>
      <c r="J995" s="41">
        <v>3000</v>
      </c>
      <c r="K995" s="42">
        <v>15.6</v>
      </c>
      <c r="L995" s="43"/>
      <c r="M995" s="43">
        <f>L995*K995</f>
        <v>0</v>
      </c>
      <c r="N995" s="35">
        <v>4607015182507</v>
      </c>
    </row>
    <row r="996" spans="1:14" ht="36" customHeight="1" outlineLevel="3" x14ac:dyDescent="0.2">
      <c r="A996" s="45">
        <v>16943</v>
      </c>
      <c r="B996" s="37" t="str">
        <f>HYPERLINK("http://sedek.ru/upload/iblock/8c6/ogurets_zimniy_f1.jpg","фото")</f>
        <v>фото</v>
      </c>
      <c r="C996" s="38"/>
      <c r="D996" s="38"/>
      <c r="E996" s="39"/>
      <c r="F996" s="39" t="s">
        <v>1223</v>
      </c>
      <c r="G996" s="44">
        <v>0.2</v>
      </c>
      <c r="H996" s="39" t="s">
        <v>101</v>
      </c>
      <c r="I996" s="39" t="s">
        <v>102</v>
      </c>
      <c r="J996" s="41">
        <v>4000</v>
      </c>
      <c r="K996" s="42">
        <v>30.8</v>
      </c>
      <c r="L996" s="43"/>
      <c r="M996" s="43">
        <f>L996*K996</f>
        <v>0</v>
      </c>
      <c r="N996" s="35">
        <v>4690368023955</v>
      </c>
    </row>
    <row r="997" spans="1:14" ht="36" customHeight="1" outlineLevel="3" x14ac:dyDescent="0.2">
      <c r="A997" s="45">
        <v>16277</v>
      </c>
      <c r="B997" s="37" t="str">
        <f>HYPERLINK("http://sedek.ru/upload/iblock/8c2/ogurets_zozulya_f1.jpg","фото")</f>
        <v>фото</v>
      </c>
      <c r="C997" s="38"/>
      <c r="D997" s="38"/>
      <c r="E997" s="39" t="s">
        <v>1188</v>
      </c>
      <c r="F997" s="39" t="s">
        <v>1224</v>
      </c>
      <c r="G997" s="44">
        <v>0.2</v>
      </c>
      <c r="H997" s="39" t="s">
        <v>101</v>
      </c>
      <c r="I997" s="39" t="s">
        <v>102</v>
      </c>
      <c r="J997" s="41">
        <v>4000</v>
      </c>
      <c r="K997" s="42">
        <v>21</v>
      </c>
      <c r="L997" s="43"/>
      <c r="M997" s="43">
        <f>L997*K997</f>
        <v>0</v>
      </c>
      <c r="N997" s="35">
        <v>4607015182569</v>
      </c>
    </row>
    <row r="998" spans="1:14" ht="36" customHeight="1" outlineLevel="3" x14ac:dyDescent="0.2">
      <c r="A998" s="45">
        <v>16575</v>
      </c>
      <c r="B998" s="37" t="str">
        <f>HYPERLINK("http://www.sedek.ru/upload/iblock/54b/ogurets_izumrudnyy_potok_f1.jpg","фото")</f>
        <v>фото</v>
      </c>
      <c r="C998" s="38"/>
      <c r="D998" s="38"/>
      <c r="E998" s="39" t="s">
        <v>1151</v>
      </c>
      <c r="F998" s="39" t="s">
        <v>1225</v>
      </c>
      <c r="G998" s="44">
        <v>0.2</v>
      </c>
      <c r="H998" s="39" t="s">
        <v>101</v>
      </c>
      <c r="I998" s="39" t="s">
        <v>102</v>
      </c>
      <c r="J998" s="41">
        <v>4000</v>
      </c>
      <c r="K998" s="42">
        <v>55.6</v>
      </c>
      <c r="L998" s="43"/>
      <c r="M998" s="43">
        <f>L998*K998</f>
        <v>0</v>
      </c>
      <c r="N998" s="35">
        <v>4607015182583</v>
      </c>
    </row>
    <row r="999" spans="1:14" ht="36" customHeight="1" outlineLevel="3" x14ac:dyDescent="0.2">
      <c r="A999" s="45">
        <v>14694</v>
      </c>
      <c r="B999" s="37" t="str">
        <f>HYPERLINK("http://sedek.ru/upload/iblock/7cc/ogurets_izyuminka_f1.jpg","фото")</f>
        <v>фото</v>
      </c>
      <c r="C999" s="38"/>
      <c r="D999" s="38"/>
      <c r="E999" s="39"/>
      <c r="F999" s="39" t="s">
        <v>1226</v>
      </c>
      <c r="G999" s="44">
        <v>0.2</v>
      </c>
      <c r="H999" s="39" t="s">
        <v>101</v>
      </c>
      <c r="I999" s="39" t="s">
        <v>102</v>
      </c>
      <c r="J999" s="41">
        <v>4000</v>
      </c>
      <c r="K999" s="42">
        <v>27.4</v>
      </c>
      <c r="L999" s="43"/>
      <c r="M999" s="43">
        <f>L999*K999</f>
        <v>0</v>
      </c>
      <c r="N999" s="35">
        <v>4607149404711</v>
      </c>
    </row>
    <row r="1000" spans="1:14" ht="24" customHeight="1" outlineLevel="3" x14ac:dyDescent="0.2">
      <c r="A1000" s="45">
        <v>14258</v>
      </c>
      <c r="B1000" s="37" t="str">
        <f>HYPERLINK("http://sedek.ru/upload/iblock/22d/ogurets_izyashchnyy.jpg","фото")</f>
        <v>фото</v>
      </c>
      <c r="C1000" s="38"/>
      <c r="D1000" s="38"/>
      <c r="E1000" s="39"/>
      <c r="F1000" s="39" t="s">
        <v>1227</v>
      </c>
      <c r="G1000" s="44">
        <v>0.5</v>
      </c>
      <c r="H1000" s="39" t="s">
        <v>101</v>
      </c>
      <c r="I1000" s="39" t="s">
        <v>102</v>
      </c>
      <c r="J1000" s="41">
        <v>3000</v>
      </c>
      <c r="K1000" s="42">
        <v>15.6</v>
      </c>
      <c r="L1000" s="43"/>
      <c r="M1000" s="43">
        <f>L1000*K1000</f>
        <v>0</v>
      </c>
      <c r="N1000" s="35">
        <v>4607015182606</v>
      </c>
    </row>
    <row r="1001" spans="1:14" ht="36" customHeight="1" outlineLevel="3" x14ac:dyDescent="0.2">
      <c r="A1001" s="45">
        <v>15630</v>
      </c>
      <c r="B1001" s="37" t="str">
        <f>HYPERLINK("http://sedek.ru/upload/iblock/922/ogurets_ira_f1.jpg","фото")</f>
        <v>фото</v>
      </c>
      <c r="C1001" s="38"/>
      <c r="D1001" s="38"/>
      <c r="E1001" s="39"/>
      <c r="F1001" s="39" t="s">
        <v>1228</v>
      </c>
      <c r="G1001" s="44">
        <v>0.2</v>
      </c>
      <c r="H1001" s="39" t="s">
        <v>101</v>
      </c>
      <c r="I1001" s="39" t="s">
        <v>102</v>
      </c>
      <c r="J1001" s="41">
        <v>4000</v>
      </c>
      <c r="K1001" s="42">
        <v>20</v>
      </c>
      <c r="L1001" s="43"/>
      <c r="M1001" s="43">
        <f>L1001*K1001</f>
        <v>0</v>
      </c>
      <c r="N1001" s="35">
        <v>4690368015226</v>
      </c>
    </row>
    <row r="1002" spans="1:14" ht="36" customHeight="1" outlineLevel="3" x14ac:dyDescent="0.2">
      <c r="A1002" s="45">
        <v>15837</v>
      </c>
      <c r="B1002" s="37" t="str">
        <f>HYPERLINK("http://sedek.ru/upload/iblock/c17/ogurets_irina_f1.jpg","фото")</f>
        <v>фото</v>
      </c>
      <c r="C1002" s="38"/>
      <c r="D1002" s="38"/>
      <c r="E1002" s="39"/>
      <c r="F1002" s="39" t="s">
        <v>1229</v>
      </c>
      <c r="G1002" s="44">
        <v>0.2</v>
      </c>
      <c r="H1002" s="39" t="s">
        <v>101</v>
      </c>
      <c r="I1002" s="39" t="s">
        <v>102</v>
      </c>
      <c r="J1002" s="41">
        <v>4000</v>
      </c>
      <c r="K1002" s="42">
        <v>25.9</v>
      </c>
      <c r="L1002" s="43"/>
      <c r="M1002" s="43">
        <f>L1002*K1002</f>
        <v>0</v>
      </c>
      <c r="N1002" s="35">
        <v>4690368015820</v>
      </c>
    </row>
    <row r="1003" spans="1:14" ht="36" customHeight="1" outlineLevel="3" x14ac:dyDescent="0.2">
      <c r="A1003" s="45">
        <v>16942</v>
      </c>
      <c r="B1003" s="37" t="str">
        <f>HYPERLINK("http://sedek.ru/upload/iblock/097/ogurets_iyunskiy_f1.jpg","фото")</f>
        <v>фото</v>
      </c>
      <c r="C1003" s="38"/>
      <c r="D1003" s="38"/>
      <c r="E1003" s="39" t="s">
        <v>1188</v>
      </c>
      <c r="F1003" s="39" t="s">
        <v>1230</v>
      </c>
      <c r="G1003" s="44">
        <v>0.2</v>
      </c>
      <c r="H1003" s="39" t="s">
        <v>101</v>
      </c>
      <c r="I1003" s="39" t="s">
        <v>102</v>
      </c>
      <c r="J1003" s="41">
        <v>4000</v>
      </c>
      <c r="K1003" s="42">
        <v>30</v>
      </c>
      <c r="L1003" s="43"/>
      <c r="M1003" s="43">
        <f>L1003*K1003</f>
        <v>0</v>
      </c>
      <c r="N1003" s="35">
        <v>4690368023962</v>
      </c>
    </row>
    <row r="1004" spans="1:14" ht="24" customHeight="1" outlineLevel="3" x14ac:dyDescent="0.2">
      <c r="A1004" s="45">
        <v>15867</v>
      </c>
      <c r="B1004" s="37" t="str">
        <f>HYPERLINK("http://sedek.ru/upload/iblock/e56/ogurets_kay_f1.jpg","фото")</f>
        <v>фото</v>
      </c>
      <c r="C1004" s="38"/>
      <c r="D1004" s="38" t="s">
        <v>266</v>
      </c>
      <c r="E1004" s="39" t="s">
        <v>1188</v>
      </c>
      <c r="F1004" s="39" t="s">
        <v>1231</v>
      </c>
      <c r="G1004" s="44">
        <v>0.3</v>
      </c>
      <c r="H1004" s="39" t="s">
        <v>101</v>
      </c>
      <c r="I1004" s="39" t="s">
        <v>102</v>
      </c>
      <c r="J1004" s="41">
        <v>3000</v>
      </c>
      <c r="K1004" s="42">
        <v>29.5</v>
      </c>
      <c r="L1004" s="43"/>
      <c r="M1004" s="43">
        <f>L1004*K1004</f>
        <v>0</v>
      </c>
      <c r="N1004" s="35">
        <v>4607015182620</v>
      </c>
    </row>
    <row r="1005" spans="1:14" ht="36" customHeight="1" outlineLevel="3" x14ac:dyDescent="0.2">
      <c r="A1005" s="45">
        <v>14164</v>
      </c>
      <c r="B1005" s="37" t="str">
        <f>HYPERLINK("http://sedek.ru/upload/iblock/199/ogurets_kanalya_f1.jpg","фото")</f>
        <v>фото</v>
      </c>
      <c r="C1005" s="38"/>
      <c r="D1005" s="38"/>
      <c r="E1005" s="39"/>
      <c r="F1005" s="39" t="s">
        <v>1232</v>
      </c>
      <c r="G1005" s="44">
        <v>0.2</v>
      </c>
      <c r="H1005" s="39" t="s">
        <v>101</v>
      </c>
      <c r="I1005" s="39" t="s">
        <v>102</v>
      </c>
      <c r="J1005" s="41">
        <v>4000</v>
      </c>
      <c r="K1005" s="42">
        <v>39.299999999999997</v>
      </c>
      <c r="L1005" s="43"/>
      <c r="M1005" s="43">
        <f>L1005*K1005</f>
        <v>0</v>
      </c>
      <c r="N1005" s="35">
        <v>4690368015233</v>
      </c>
    </row>
    <row r="1006" spans="1:14" ht="36" customHeight="1" outlineLevel="3" x14ac:dyDescent="0.2">
      <c r="A1006" s="45">
        <v>16247</v>
      </c>
      <c r="B1006" s="37" t="str">
        <f>HYPERLINK("http://www.sedek.ru/upload/iblock/953/ogurets_karlik_f1.jpg","фото")</f>
        <v>фото</v>
      </c>
      <c r="C1006" s="38"/>
      <c r="D1006" s="38"/>
      <c r="E1006" s="39"/>
      <c r="F1006" s="39" t="s">
        <v>1233</v>
      </c>
      <c r="G1006" s="44">
        <v>0.2</v>
      </c>
      <c r="H1006" s="39" t="s">
        <v>101</v>
      </c>
      <c r="I1006" s="39" t="s">
        <v>102</v>
      </c>
      <c r="J1006" s="41">
        <v>4000</v>
      </c>
      <c r="K1006" s="42">
        <v>59.7</v>
      </c>
      <c r="L1006" s="43"/>
      <c r="M1006" s="43">
        <f>L1006*K1006</f>
        <v>0</v>
      </c>
      <c r="N1006" s="35">
        <v>4690368014496</v>
      </c>
    </row>
    <row r="1007" spans="1:14" ht="36" customHeight="1" outlineLevel="3" x14ac:dyDescent="0.2">
      <c r="A1007" s="45">
        <v>16568</v>
      </c>
      <c r="B1007" s="37" t="str">
        <f>HYPERLINK("http://sedek.ru/upload/iblock/b0d/ogurets_kvartet_f1.jpg","фото")</f>
        <v>фото</v>
      </c>
      <c r="C1007" s="38"/>
      <c r="D1007" s="38" t="s">
        <v>266</v>
      </c>
      <c r="E1007" s="39"/>
      <c r="F1007" s="39" t="s">
        <v>1234</v>
      </c>
      <c r="G1007" s="44">
        <v>0.2</v>
      </c>
      <c r="H1007" s="39" t="s">
        <v>101</v>
      </c>
      <c r="I1007" s="39" t="s">
        <v>102</v>
      </c>
      <c r="J1007" s="41">
        <v>4000</v>
      </c>
      <c r="K1007" s="42">
        <v>54.4</v>
      </c>
      <c r="L1007" s="43"/>
      <c r="M1007" s="43">
        <f>L1007*K1007</f>
        <v>0</v>
      </c>
      <c r="N1007" s="35">
        <v>4607015182644</v>
      </c>
    </row>
    <row r="1008" spans="1:14" ht="36" customHeight="1" outlineLevel="3" x14ac:dyDescent="0.2">
      <c r="A1008" s="45">
        <v>14789</v>
      </c>
      <c r="B1008" s="37" t="str">
        <f>HYPERLINK("http://sedek.ru/upload/iblock/23f/ogurets_kitayskiy_bolezneustoychivyy_f1_seriya_2_1.jpg","фото")</f>
        <v>фото</v>
      </c>
      <c r="C1008" s="38"/>
      <c r="D1008" s="38"/>
      <c r="E1008" s="39" t="s">
        <v>1151</v>
      </c>
      <c r="F1008" s="39" t="s">
        <v>1235</v>
      </c>
      <c r="G1008" s="44">
        <v>0.2</v>
      </c>
      <c r="H1008" s="39" t="s">
        <v>101</v>
      </c>
      <c r="I1008" s="39" t="s">
        <v>102</v>
      </c>
      <c r="J1008" s="41">
        <v>4000</v>
      </c>
      <c r="K1008" s="42">
        <v>49.8</v>
      </c>
      <c r="L1008" s="43"/>
      <c r="M1008" s="43">
        <f>L1008*K1008</f>
        <v>0</v>
      </c>
      <c r="N1008" s="35">
        <v>4607116267387</v>
      </c>
    </row>
    <row r="1009" spans="1:14" ht="36" customHeight="1" outlineLevel="3" x14ac:dyDescent="0.2">
      <c r="A1009" s="45">
        <v>16372</v>
      </c>
      <c r="B1009" s="37" t="str">
        <f>HYPERLINK("http://sedek.ru/upload/iblock/70e/ogurets_kitayskiy_zharoustoychivyy_f1.jpg","фото")</f>
        <v>фото</v>
      </c>
      <c r="C1009" s="38"/>
      <c r="D1009" s="38"/>
      <c r="E1009" s="39" t="s">
        <v>1151</v>
      </c>
      <c r="F1009" s="39" t="s">
        <v>1236</v>
      </c>
      <c r="G1009" s="44">
        <v>0.2</v>
      </c>
      <c r="H1009" s="39" t="s">
        <v>101</v>
      </c>
      <c r="I1009" s="39" t="s">
        <v>102</v>
      </c>
      <c r="J1009" s="41">
        <v>4000</v>
      </c>
      <c r="K1009" s="42">
        <v>49.8</v>
      </c>
      <c r="L1009" s="43"/>
      <c r="M1009" s="43">
        <f>L1009*K1009</f>
        <v>0</v>
      </c>
      <c r="N1009" s="35">
        <v>4607116267394</v>
      </c>
    </row>
    <row r="1010" spans="1:14" ht="36" customHeight="1" outlineLevel="3" x14ac:dyDescent="0.2">
      <c r="A1010" s="45">
        <v>16201</v>
      </c>
      <c r="B1010" s="37" t="str">
        <f>HYPERLINK("http://sedek.ru/upload/iblock/3c0/ogurets_kitayskiy_pletistyy.jpg","фото")</f>
        <v>фото</v>
      </c>
      <c r="C1010" s="38"/>
      <c r="D1010" s="38"/>
      <c r="E1010" s="39"/>
      <c r="F1010" s="39" t="s">
        <v>1237</v>
      </c>
      <c r="G1010" s="44">
        <v>0.5</v>
      </c>
      <c r="H1010" s="39" t="s">
        <v>101</v>
      </c>
      <c r="I1010" s="39" t="s">
        <v>102</v>
      </c>
      <c r="J1010" s="41">
        <v>3000</v>
      </c>
      <c r="K1010" s="42">
        <v>28.9</v>
      </c>
      <c r="L1010" s="43"/>
      <c r="M1010" s="43">
        <f>L1010*K1010</f>
        <v>0</v>
      </c>
      <c r="N1010" s="35">
        <v>4607015182682</v>
      </c>
    </row>
    <row r="1011" spans="1:14" ht="24" customHeight="1" outlineLevel="3" x14ac:dyDescent="0.2">
      <c r="A1011" s="45">
        <v>16201</v>
      </c>
      <c r="B1011" s="37" t="str">
        <f>HYPERLINK("http://sedek.ru/upload/iblock/3c0/ogurets_kitayskiy_pletistyy.jpg","фото")</f>
        <v>фото</v>
      </c>
      <c r="C1011" s="38"/>
      <c r="D1011" s="38"/>
      <c r="E1011" s="39"/>
      <c r="F1011" s="39" t="s">
        <v>1238</v>
      </c>
      <c r="G1011" s="44">
        <v>0.5</v>
      </c>
      <c r="H1011" s="39" t="s">
        <v>101</v>
      </c>
      <c r="I1011" s="39" t="s">
        <v>287</v>
      </c>
      <c r="J1011" s="41">
        <v>3000</v>
      </c>
      <c r="K1011" s="42">
        <v>12.7</v>
      </c>
      <c r="L1011" s="43"/>
      <c r="M1011" s="43">
        <f>L1011*K1011</f>
        <v>0</v>
      </c>
      <c r="N1011" s="35">
        <v>4607149409563</v>
      </c>
    </row>
    <row r="1012" spans="1:14" ht="36" customHeight="1" outlineLevel="3" x14ac:dyDescent="0.2">
      <c r="A1012" s="45">
        <v>15580</v>
      </c>
      <c r="B1012" s="37" t="str">
        <f>HYPERLINK("http://sedek.ru/upload/iblock/c9b/ogurets_kitayskiy_fermerskiy_f1.jpg","фото")</f>
        <v>фото</v>
      </c>
      <c r="C1012" s="38"/>
      <c r="D1012" s="38"/>
      <c r="E1012" s="39" t="s">
        <v>1151</v>
      </c>
      <c r="F1012" s="39" t="s">
        <v>1239</v>
      </c>
      <c r="G1012" s="44">
        <v>0.2</v>
      </c>
      <c r="H1012" s="39" t="s">
        <v>101</v>
      </c>
      <c r="I1012" s="39" t="s">
        <v>102</v>
      </c>
      <c r="J1012" s="41">
        <v>4000</v>
      </c>
      <c r="K1012" s="42">
        <v>49.8</v>
      </c>
      <c r="L1012" s="43"/>
      <c r="M1012" s="43">
        <f>L1012*K1012</f>
        <v>0</v>
      </c>
      <c r="N1012" s="35">
        <v>4607116267400</v>
      </c>
    </row>
    <row r="1013" spans="1:14" ht="36" customHeight="1" outlineLevel="3" x14ac:dyDescent="0.2">
      <c r="A1013" s="45">
        <v>14490</v>
      </c>
      <c r="B1013" s="37" t="str">
        <f>HYPERLINK("http://sedek.ru/upload/iblock/e4e/ogurets_kitayskiy_kholodoustoychivyy_f1.jpg","фото")</f>
        <v>фото</v>
      </c>
      <c r="C1013" s="38"/>
      <c r="D1013" s="38" t="s">
        <v>266</v>
      </c>
      <c r="E1013" s="39" t="s">
        <v>1151</v>
      </c>
      <c r="F1013" s="39" t="s">
        <v>1240</v>
      </c>
      <c r="G1013" s="44">
        <v>0.2</v>
      </c>
      <c r="H1013" s="39" t="s">
        <v>101</v>
      </c>
      <c r="I1013" s="39" t="s">
        <v>102</v>
      </c>
      <c r="J1013" s="41">
        <v>4000</v>
      </c>
      <c r="K1013" s="42">
        <v>49.8</v>
      </c>
      <c r="L1013" s="43"/>
      <c r="M1013" s="43">
        <f>L1013*K1013</f>
        <v>0</v>
      </c>
      <c r="N1013" s="35">
        <v>4607116267417</v>
      </c>
    </row>
    <row r="1014" spans="1:14" ht="36" customHeight="1" outlineLevel="3" x14ac:dyDescent="0.2">
      <c r="A1014" s="45">
        <v>14628</v>
      </c>
      <c r="B1014" s="37" t="str">
        <f>HYPERLINK("http://sedek.ru/upload/iblock/9d3/ogurets_klavdiya_f1.jpg","фото")</f>
        <v>фото</v>
      </c>
      <c r="C1014" s="38"/>
      <c r="D1014" s="38"/>
      <c r="E1014" s="39" t="s">
        <v>1188</v>
      </c>
      <c r="F1014" s="39" t="s">
        <v>1241</v>
      </c>
      <c r="G1014" s="44">
        <v>0.2</v>
      </c>
      <c r="H1014" s="39" t="s">
        <v>101</v>
      </c>
      <c r="I1014" s="39" t="s">
        <v>102</v>
      </c>
      <c r="J1014" s="41">
        <v>4000</v>
      </c>
      <c r="K1014" s="42">
        <v>51.6</v>
      </c>
      <c r="L1014" s="43"/>
      <c r="M1014" s="43">
        <f>L1014*K1014</f>
        <v>0</v>
      </c>
      <c r="N1014" s="35">
        <v>4607015182705</v>
      </c>
    </row>
    <row r="1015" spans="1:14" ht="24" customHeight="1" outlineLevel="3" x14ac:dyDescent="0.2">
      <c r="A1015" s="45">
        <v>14747</v>
      </c>
      <c r="B1015" s="37" t="str">
        <f>HYPERLINK("http://sedek.ru/upload/iblock/a90/ogurets_knyazhna_f1.jpg","фото")</f>
        <v>фото</v>
      </c>
      <c r="C1015" s="38"/>
      <c r="D1015" s="38"/>
      <c r="E1015" s="39"/>
      <c r="F1015" s="39" t="s">
        <v>1242</v>
      </c>
      <c r="G1015" s="44">
        <v>0.3</v>
      </c>
      <c r="H1015" s="39" t="s">
        <v>101</v>
      </c>
      <c r="I1015" s="39" t="s">
        <v>102</v>
      </c>
      <c r="J1015" s="41">
        <v>3000</v>
      </c>
      <c r="K1015" s="42">
        <v>35.4</v>
      </c>
      <c r="L1015" s="43"/>
      <c r="M1015" s="43">
        <f>L1015*K1015</f>
        <v>0</v>
      </c>
      <c r="N1015" s="35">
        <v>4607015182729</v>
      </c>
    </row>
    <row r="1016" spans="1:14" ht="24" customHeight="1" outlineLevel="3" x14ac:dyDescent="0.2">
      <c r="A1016" s="45">
        <v>14747</v>
      </c>
      <c r="B1016" s="37" t="str">
        <f>HYPERLINK("http://sedek.ru/upload/iblock/a90/ogurets_knyazhna_f1.jpg","фото")</f>
        <v>фото</v>
      </c>
      <c r="C1016" s="38"/>
      <c r="D1016" s="38"/>
      <c r="E1016" s="39"/>
      <c r="F1016" s="39" t="s">
        <v>1243</v>
      </c>
      <c r="G1016" s="44">
        <v>0.3</v>
      </c>
      <c r="H1016" s="39" t="s">
        <v>101</v>
      </c>
      <c r="I1016" s="39" t="s">
        <v>287</v>
      </c>
      <c r="J1016" s="41">
        <v>3000</v>
      </c>
      <c r="K1016" s="42">
        <v>13.4</v>
      </c>
      <c r="L1016" s="43"/>
      <c r="M1016" s="43">
        <f>L1016*K1016</f>
        <v>0</v>
      </c>
      <c r="N1016" s="35">
        <v>4690368004633</v>
      </c>
    </row>
    <row r="1017" spans="1:14" ht="36" customHeight="1" outlineLevel="3" x14ac:dyDescent="0.2">
      <c r="A1017" s="45">
        <v>15986</v>
      </c>
      <c r="B1017" s="37" t="str">
        <f>HYPERLINK("http://sedek.ru/upload/iblock/603/ogurets_kolenka.jpg","фото")</f>
        <v>фото</v>
      </c>
      <c r="C1017" s="38"/>
      <c r="D1017" s="38"/>
      <c r="E1017" s="39"/>
      <c r="F1017" s="39" t="s">
        <v>1244</v>
      </c>
      <c r="G1017" s="44">
        <v>0.3</v>
      </c>
      <c r="H1017" s="39" t="s">
        <v>101</v>
      </c>
      <c r="I1017" s="39" t="s">
        <v>102</v>
      </c>
      <c r="J1017" s="41">
        <v>3000</v>
      </c>
      <c r="K1017" s="42">
        <v>19.5</v>
      </c>
      <c r="L1017" s="43"/>
      <c r="M1017" s="43">
        <f>L1017*K1017</f>
        <v>0</v>
      </c>
      <c r="N1017" s="35">
        <v>4690368007559</v>
      </c>
    </row>
    <row r="1018" spans="1:14" ht="36" customHeight="1" outlineLevel="3" x14ac:dyDescent="0.2">
      <c r="A1018" s="45">
        <v>13480</v>
      </c>
      <c r="B1018" s="37" t="str">
        <f>HYPERLINK("http://sedek.ru/upload/iblock/97d/ogurets_konkurent.jpg","фото")</f>
        <v>фото</v>
      </c>
      <c r="C1018" s="38"/>
      <c r="D1018" s="38"/>
      <c r="E1018" s="39"/>
      <c r="F1018" s="39" t="s">
        <v>1245</v>
      </c>
      <c r="G1018" s="44">
        <v>0.5</v>
      </c>
      <c r="H1018" s="39" t="s">
        <v>101</v>
      </c>
      <c r="I1018" s="39" t="s">
        <v>102</v>
      </c>
      <c r="J1018" s="41">
        <v>3000</v>
      </c>
      <c r="K1018" s="42">
        <v>15.6</v>
      </c>
      <c r="L1018" s="43"/>
      <c r="M1018" s="43">
        <f>L1018*K1018</f>
        <v>0</v>
      </c>
      <c r="N1018" s="35">
        <v>4607015182767</v>
      </c>
    </row>
    <row r="1019" spans="1:14" ht="36" customHeight="1" outlineLevel="3" x14ac:dyDescent="0.2">
      <c r="A1019" s="45">
        <v>16249</v>
      </c>
      <c r="B1019" s="37" t="str">
        <f>HYPERLINK("http://sedek.ru/upload/iblock/f3c/ogurets_konni_f1.jpg","фото")</f>
        <v>фото</v>
      </c>
      <c r="C1019" s="38"/>
      <c r="D1019" s="38"/>
      <c r="E1019" s="39"/>
      <c r="F1019" s="39" t="s">
        <v>1246</v>
      </c>
      <c r="G1019" s="44">
        <v>0.2</v>
      </c>
      <c r="H1019" s="39" t="s">
        <v>101</v>
      </c>
      <c r="I1019" s="39" t="s">
        <v>102</v>
      </c>
      <c r="J1019" s="41">
        <v>4000</v>
      </c>
      <c r="K1019" s="42">
        <v>24.9</v>
      </c>
      <c r="L1019" s="43"/>
      <c r="M1019" s="43">
        <f>L1019*K1019</f>
        <v>0</v>
      </c>
      <c r="N1019" s="35">
        <v>4690368015097</v>
      </c>
    </row>
    <row r="1020" spans="1:14" ht="24" customHeight="1" outlineLevel="3" x14ac:dyDescent="0.2">
      <c r="A1020" s="45">
        <v>16248</v>
      </c>
      <c r="B1020" s="37" t="str">
        <f>HYPERLINK("http://sedek.ru/upload/iblock/ea7/ogurets_korinna_f1.jpg","фото")</f>
        <v>фото</v>
      </c>
      <c r="C1020" s="38"/>
      <c r="D1020" s="38"/>
      <c r="E1020" s="39"/>
      <c r="F1020" s="39" t="s">
        <v>1247</v>
      </c>
      <c r="G1020" s="44">
        <v>0.2</v>
      </c>
      <c r="H1020" s="39" t="s">
        <v>101</v>
      </c>
      <c r="I1020" s="39" t="s">
        <v>102</v>
      </c>
      <c r="J1020" s="41">
        <v>4000</v>
      </c>
      <c r="K1020" s="42">
        <v>32.299999999999997</v>
      </c>
      <c r="L1020" s="43"/>
      <c r="M1020" s="43">
        <f>L1020*K1020</f>
        <v>0</v>
      </c>
      <c r="N1020" s="35">
        <v>4690368015103</v>
      </c>
    </row>
    <row r="1021" spans="1:14" ht="36" customHeight="1" outlineLevel="3" x14ac:dyDescent="0.2">
      <c r="A1021" s="45">
        <v>16961</v>
      </c>
      <c r="B1021" s="37" t="str">
        <f>HYPERLINK("http://sedek.ru/upload/iblock/597/ogurets_korolevskie_palchiki_f1.jpg","фото")</f>
        <v>фото</v>
      </c>
      <c r="C1021" s="38"/>
      <c r="D1021" s="38" t="s">
        <v>266</v>
      </c>
      <c r="E1021" s="39"/>
      <c r="F1021" s="39" t="s">
        <v>1248</v>
      </c>
      <c r="G1021" s="44">
        <v>0.2</v>
      </c>
      <c r="H1021" s="39" t="s">
        <v>101</v>
      </c>
      <c r="I1021" s="39" t="s">
        <v>102</v>
      </c>
      <c r="J1021" s="41">
        <v>4000</v>
      </c>
      <c r="K1021" s="42">
        <v>39.200000000000003</v>
      </c>
      <c r="L1021" s="43"/>
      <c r="M1021" s="43">
        <f>L1021*K1021</f>
        <v>0</v>
      </c>
      <c r="N1021" s="35">
        <v>4690368025386</v>
      </c>
    </row>
    <row r="1022" spans="1:14" ht="24" customHeight="1" outlineLevel="3" x14ac:dyDescent="0.2">
      <c r="A1022" s="45">
        <v>15073</v>
      </c>
      <c r="B1022" s="37" t="str">
        <f>HYPERLINK("http://www.sedek.ru/upload/iblock/cd8/ogurets_kornishon_krasavchik_f1.jpg","фото")</f>
        <v>фото</v>
      </c>
      <c r="C1022" s="38"/>
      <c r="D1022" s="38" t="s">
        <v>266</v>
      </c>
      <c r="E1022" s="39"/>
      <c r="F1022" s="39" t="s">
        <v>1249</v>
      </c>
      <c r="G1022" s="44">
        <v>0.3</v>
      </c>
      <c r="H1022" s="39" t="s">
        <v>101</v>
      </c>
      <c r="I1022" s="39" t="s">
        <v>102</v>
      </c>
      <c r="J1022" s="41">
        <v>3000</v>
      </c>
      <c r="K1022" s="42">
        <v>30.3</v>
      </c>
      <c r="L1022" s="43"/>
      <c r="M1022" s="43">
        <f>L1022*K1022</f>
        <v>0</v>
      </c>
      <c r="N1022" s="35">
        <v>4607015182828</v>
      </c>
    </row>
    <row r="1023" spans="1:14" ht="36" customHeight="1" outlineLevel="3" x14ac:dyDescent="0.2">
      <c r="A1023" s="45">
        <v>16168</v>
      </c>
      <c r="B1023" s="37" t="str">
        <f>HYPERLINK("http://sedek.ru/upload/iblock/187/ogurets_kristina_f1.jpg","фото")</f>
        <v>фото</v>
      </c>
      <c r="C1023" s="38"/>
      <c r="D1023" s="38" t="s">
        <v>266</v>
      </c>
      <c r="E1023" s="39"/>
      <c r="F1023" s="39" t="s">
        <v>1250</v>
      </c>
      <c r="G1023" s="44">
        <v>0.2</v>
      </c>
      <c r="H1023" s="39" t="s">
        <v>101</v>
      </c>
      <c r="I1023" s="39" t="s">
        <v>102</v>
      </c>
      <c r="J1023" s="41">
        <v>4000</v>
      </c>
      <c r="K1023" s="42">
        <v>46.2</v>
      </c>
      <c r="L1023" s="43"/>
      <c r="M1023" s="43">
        <f>L1023*K1023</f>
        <v>0</v>
      </c>
      <c r="N1023" s="35">
        <v>4607015182866</v>
      </c>
    </row>
    <row r="1024" spans="1:14" ht="36" customHeight="1" outlineLevel="3" x14ac:dyDescent="0.2">
      <c r="A1024" s="45">
        <v>14487</v>
      </c>
      <c r="B1024" s="37" t="str">
        <f>HYPERLINK("http://sedek.ru/upload/iblock/7b1/ogurets_krokodil_gena_f1.jpg","фото")</f>
        <v>фото</v>
      </c>
      <c r="C1024" s="38"/>
      <c r="D1024" s="38"/>
      <c r="E1024" s="39"/>
      <c r="F1024" s="39" t="s">
        <v>1251</v>
      </c>
      <c r="G1024" s="44">
        <v>0.2</v>
      </c>
      <c r="H1024" s="39" t="s">
        <v>101</v>
      </c>
      <c r="I1024" s="39" t="s">
        <v>102</v>
      </c>
      <c r="J1024" s="41">
        <v>4000</v>
      </c>
      <c r="K1024" s="42">
        <v>42.2</v>
      </c>
      <c r="L1024" s="43"/>
      <c r="M1024" s="43">
        <f>L1024*K1024</f>
        <v>0</v>
      </c>
      <c r="N1024" s="35">
        <v>4607149404742</v>
      </c>
    </row>
    <row r="1025" spans="1:14" ht="36" customHeight="1" outlineLevel="3" x14ac:dyDescent="0.2">
      <c r="A1025" s="45">
        <v>15836</v>
      </c>
      <c r="B1025" s="37" t="str">
        <f>HYPERLINK("http://www.sedek.ru/upload/iblock/7d3/ogurets_kroshka_syn_f1.JPG","фото")</f>
        <v>фото</v>
      </c>
      <c r="C1025" s="38"/>
      <c r="D1025" s="38" t="s">
        <v>266</v>
      </c>
      <c r="E1025" s="39" t="s">
        <v>1180</v>
      </c>
      <c r="F1025" s="39" t="s">
        <v>1252</v>
      </c>
      <c r="G1025" s="44">
        <v>0.2</v>
      </c>
      <c r="H1025" s="39" t="s">
        <v>101</v>
      </c>
      <c r="I1025" s="39" t="s">
        <v>102</v>
      </c>
      <c r="J1025" s="41">
        <v>4000</v>
      </c>
      <c r="K1025" s="42">
        <v>49</v>
      </c>
      <c r="L1025" s="43"/>
      <c r="M1025" s="43">
        <f>L1025*K1025</f>
        <v>0</v>
      </c>
      <c r="N1025" s="35">
        <v>4690368014847</v>
      </c>
    </row>
    <row r="1026" spans="1:14" ht="36" customHeight="1" outlineLevel="3" x14ac:dyDescent="0.2">
      <c r="A1026" s="45">
        <v>16471</v>
      </c>
      <c r="B1026" s="37" t="str">
        <f>HYPERLINK("http://www.sedek.ru/upload/iblock/b81/ogurets_kukolka_f1.jpg","фото")</f>
        <v>фото</v>
      </c>
      <c r="C1026" s="38"/>
      <c r="D1026" s="38"/>
      <c r="E1026" s="39"/>
      <c r="F1026" s="39" t="s">
        <v>1253</v>
      </c>
      <c r="G1026" s="44">
        <v>0.2</v>
      </c>
      <c r="H1026" s="39" t="s">
        <v>101</v>
      </c>
      <c r="I1026" s="39" t="s">
        <v>102</v>
      </c>
      <c r="J1026" s="41">
        <v>4000</v>
      </c>
      <c r="K1026" s="42">
        <v>49</v>
      </c>
      <c r="L1026" s="43"/>
      <c r="M1026" s="43">
        <f>L1026*K1026</f>
        <v>0</v>
      </c>
      <c r="N1026" s="35">
        <v>4690368009461</v>
      </c>
    </row>
    <row r="1027" spans="1:14" ht="36" customHeight="1" outlineLevel="3" x14ac:dyDescent="0.2">
      <c r="A1027" s="45">
        <v>16450</v>
      </c>
      <c r="B1027" s="37" t="str">
        <f>HYPERLINK("http://www.sedek.ru/upload/iblock/ca7/ogurets_kustovoy.jpg","фото")</f>
        <v>фото</v>
      </c>
      <c r="C1027" s="38"/>
      <c r="D1027" s="38"/>
      <c r="E1027" s="39"/>
      <c r="F1027" s="39" t="s">
        <v>1254</v>
      </c>
      <c r="G1027" s="44">
        <v>0.5</v>
      </c>
      <c r="H1027" s="39" t="s">
        <v>101</v>
      </c>
      <c r="I1027" s="39" t="s">
        <v>102</v>
      </c>
      <c r="J1027" s="41">
        <v>3000</v>
      </c>
      <c r="K1027" s="42">
        <v>15.6</v>
      </c>
      <c r="L1027" s="43"/>
      <c r="M1027" s="43">
        <f>L1027*K1027</f>
        <v>0</v>
      </c>
      <c r="N1027" s="35">
        <v>4607015182880</v>
      </c>
    </row>
    <row r="1028" spans="1:14" ht="36" customHeight="1" outlineLevel="3" x14ac:dyDescent="0.2">
      <c r="A1028" s="45">
        <v>16450</v>
      </c>
      <c r="B1028" s="37" t="str">
        <f>HYPERLINK("http://www.sedek.ru/upload/iblock/ca7/ogurets_kustovoy.jpg","фото")</f>
        <v>фото</v>
      </c>
      <c r="C1028" s="38"/>
      <c r="D1028" s="38"/>
      <c r="E1028" s="39"/>
      <c r="F1028" s="39" t="s">
        <v>1255</v>
      </c>
      <c r="G1028" s="44">
        <v>0.5</v>
      </c>
      <c r="H1028" s="39" t="s">
        <v>101</v>
      </c>
      <c r="I1028" s="39" t="s">
        <v>287</v>
      </c>
      <c r="J1028" s="41">
        <v>3000</v>
      </c>
      <c r="K1028" s="42">
        <v>7</v>
      </c>
      <c r="L1028" s="43"/>
      <c r="M1028" s="43">
        <f>L1028*K1028</f>
        <v>0</v>
      </c>
      <c r="N1028" s="35">
        <v>4607149408399</v>
      </c>
    </row>
    <row r="1029" spans="1:14" ht="24" customHeight="1" outlineLevel="3" x14ac:dyDescent="0.2">
      <c r="A1029" s="45">
        <v>15679</v>
      </c>
      <c r="B1029" s="37" t="str">
        <f>HYPERLINK("http://sedek.ru/upload/iblock/c9b/ogurets_kukharka_f1.jpg","фото")</f>
        <v>фото</v>
      </c>
      <c r="C1029" s="38"/>
      <c r="D1029" s="38"/>
      <c r="E1029" s="39"/>
      <c r="F1029" s="39" t="s">
        <v>1256</v>
      </c>
      <c r="G1029" s="44">
        <v>0.3</v>
      </c>
      <c r="H1029" s="39" t="s">
        <v>101</v>
      </c>
      <c r="I1029" s="39" t="s">
        <v>102</v>
      </c>
      <c r="J1029" s="41">
        <v>3000</v>
      </c>
      <c r="K1029" s="42">
        <v>21.6</v>
      </c>
      <c r="L1029" s="43"/>
      <c r="M1029" s="43">
        <f>L1029*K1029</f>
        <v>0</v>
      </c>
      <c r="N1029" s="35">
        <v>4690368007566</v>
      </c>
    </row>
    <row r="1030" spans="1:14" ht="24" customHeight="1" outlineLevel="3" x14ac:dyDescent="0.2">
      <c r="A1030" s="45">
        <v>16010</v>
      </c>
      <c r="B1030" s="37" t="str">
        <f>HYPERLINK("http://sedek.ru/upload/iblock/273/ogurets_lastochka_f1.jpg","фото")</f>
        <v>фото</v>
      </c>
      <c r="C1030" s="38"/>
      <c r="D1030" s="38"/>
      <c r="E1030" s="39"/>
      <c r="F1030" s="39" t="s">
        <v>1257</v>
      </c>
      <c r="G1030" s="44">
        <v>0.3</v>
      </c>
      <c r="H1030" s="39" t="s">
        <v>101</v>
      </c>
      <c r="I1030" s="39" t="s">
        <v>102</v>
      </c>
      <c r="J1030" s="41">
        <v>3000</v>
      </c>
      <c r="K1030" s="42">
        <v>21.6</v>
      </c>
      <c r="L1030" s="43"/>
      <c r="M1030" s="43">
        <f>L1030*K1030</f>
        <v>0</v>
      </c>
      <c r="N1030" s="35">
        <v>4690368008877</v>
      </c>
    </row>
    <row r="1031" spans="1:14" ht="36" customHeight="1" outlineLevel="3" x14ac:dyDescent="0.2">
      <c r="A1031" s="45">
        <v>13744</v>
      </c>
      <c r="B1031" s="37" t="str">
        <f>HYPERLINK("http://sedek.ru/upload/iblock/c58/ogurets_libelle_f1.jpg","фото")</f>
        <v>фото</v>
      </c>
      <c r="C1031" s="38"/>
      <c r="D1031" s="38"/>
      <c r="E1031" s="39" t="s">
        <v>1188</v>
      </c>
      <c r="F1031" s="39" t="s">
        <v>1258</v>
      </c>
      <c r="G1031" s="44">
        <v>0.3</v>
      </c>
      <c r="H1031" s="39" t="s">
        <v>101</v>
      </c>
      <c r="I1031" s="39" t="s">
        <v>102</v>
      </c>
      <c r="J1031" s="41">
        <v>3000</v>
      </c>
      <c r="K1031" s="42">
        <v>15.6</v>
      </c>
      <c r="L1031" s="43"/>
      <c r="M1031" s="43">
        <f>L1031*K1031</f>
        <v>0</v>
      </c>
      <c r="N1031" s="35">
        <v>4607015182941</v>
      </c>
    </row>
    <row r="1032" spans="1:14" ht="36" customHeight="1" outlineLevel="3" x14ac:dyDescent="0.2">
      <c r="A1032" s="45">
        <v>14151</v>
      </c>
      <c r="B1032" s="37" t="str">
        <f>HYPERLINK("http://sedek.ru/upload/iblock/b7d/ogurets_lizetta_f1.jpg","фото")</f>
        <v>фото</v>
      </c>
      <c r="C1032" s="38"/>
      <c r="D1032" s="38" t="s">
        <v>266</v>
      </c>
      <c r="E1032" s="39"/>
      <c r="F1032" s="39" t="s">
        <v>1259</v>
      </c>
      <c r="G1032" s="44">
        <v>0.2</v>
      </c>
      <c r="H1032" s="39" t="s">
        <v>101</v>
      </c>
      <c r="I1032" s="39" t="s">
        <v>102</v>
      </c>
      <c r="J1032" s="41">
        <v>4000</v>
      </c>
      <c r="K1032" s="42">
        <v>47.7</v>
      </c>
      <c r="L1032" s="43"/>
      <c r="M1032" s="43">
        <f>L1032*K1032</f>
        <v>0</v>
      </c>
      <c r="N1032" s="35">
        <v>4607116269695</v>
      </c>
    </row>
    <row r="1033" spans="1:14" ht="36" customHeight="1" outlineLevel="3" x14ac:dyDescent="0.2">
      <c r="A1033" s="45">
        <v>15662</v>
      </c>
      <c r="B1033" s="37" t="str">
        <f>HYPERLINK("http://sedek.ru/upload/iblock/b4a/ogurets_lyubimchik.jpg","фото")</f>
        <v>фото</v>
      </c>
      <c r="C1033" s="38"/>
      <c r="D1033" s="38"/>
      <c r="E1033" s="39"/>
      <c r="F1033" s="39" t="s">
        <v>1260</v>
      </c>
      <c r="G1033" s="44">
        <v>0.5</v>
      </c>
      <c r="H1033" s="39" t="s">
        <v>101</v>
      </c>
      <c r="I1033" s="39" t="s">
        <v>102</v>
      </c>
      <c r="J1033" s="41">
        <v>3000</v>
      </c>
      <c r="K1033" s="42">
        <v>18.100000000000001</v>
      </c>
      <c r="L1033" s="43"/>
      <c r="M1033" s="43">
        <f>L1033*K1033</f>
        <v>0</v>
      </c>
      <c r="N1033" s="35">
        <v>4690368015868</v>
      </c>
    </row>
    <row r="1034" spans="1:14" ht="24" customHeight="1" outlineLevel="3" x14ac:dyDescent="0.2">
      <c r="A1034" s="45">
        <v>14520</v>
      </c>
      <c r="B1034" s="37" t="str">
        <f>HYPERLINK("http://sedek.ru/upload/iblock/57a/ogurets_lyubimyy_malysh.jpg","фото")</f>
        <v>фото</v>
      </c>
      <c r="C1034" s="38"/>
      <c r="D1034" s="38"/>
      <c r="E1034" s="39"/>
      <c r="F1034" s="39" t="s">
        <v>1261</v>
      </c>
      <c r="G1034" s="44">
        <v>0.3</v>
      </c>
      <c r="H1034" s="39" t="s">
        <v>101</v>
      </c>
      <c r="I1034" s="39" t="s">
        <v>102</v>
      </c>
      <c r="J1034" s="41">
        <v>3000</v>
      </c>
      <c r="K1034" s="42">
        <v>19.100000000000001</v>
      </c>
      <c r="L1034" s="43"/>
      <c r="M1034" s="43">
        <f>L1034*K1034</f>
        <v>0</v>
      </c>
      <c r="N1034" s="35">
        <v>4690368024037</v>
      </c>
    </row>
    <row r="1035" spans="1:14" ht="36" customHeight="1" outlineLevel="3" x14ac:dyDescent="0.2">
      <c r="A1035" s="45">
        <v>14468</v>
      </c>
      <c r="B1035" s="37" t="str">
        <f>HYPERLINK("http://sedek.ru/upload/iblock/5d9/ogurets_madmuazel_f1.png","фото")</f>
        <v>фото</v>
      </c>
      <c r="C1035" s="38"/>
      <c r="D1035" s="38"/>
      <c r="E1035" s="39" t="s">
        <v>1188</v>
      </c>
      <c r="F1035" s="39" t="s">
        <v>1262</v>
      </c>
      <c r="G1035" s="44">
        <v>0.3</v>
      </c>
      <c r="H1035" s="39" t="s">
        <v>101</v>
      </c>
      <c r="I1035" s="39" t="s">
        <v>102</v>
      </c>
      <c r="J1035" s="41">
        <v>3000</v>
      </c>
      <c r="K1035" s="42">
        <v>29.3</v>
      </c>
      <c r="L1035" s="43"/>
      <c r="M1035" s="43">
        <f>L1035*K1035</f>
        <v>0</v>
      </c>
      <c r="N1035" s="35">
        <v>4607015187731</v>
      </c>
    </row>
    <row r="1036" spans="1:14" ht="24" customHeight="1" outlineLevel="3" x14ac:dyDescent="0.2">
      <c r="A1036" s="45">
        <v>15244</v>
      </c>
      <c r="B1036" s="37" t="str">
        <f>HYPERLINK("http://sedek.ru/upload/iblock/b85/ogurets_mal_da_udal_f1.jpg","фото")</f>
        <v>фото</v>
      </c>
      <c r="C1036" s="38"/>
      <c r="D1036" s="38"/>
      <c r="E1036" s="39"/>
      <c r="F1036" s="39" t="s">
        <v>1263</v>
      </c>
      <c r="G1036" s="44">
        <v>0.2</v>
      </c>
      <c r="H1036" s="39" t="s">
        <v>101</v>
      </c>
      <c r="I1036" s="39" t="s">
        <v>102</v>
      </c>
      <c r="J1036" s="41">
        <v>4000</v>
      </c>
      <c r="K1036" s="42">
        <v>56.7</v>
      </c>
      <c r="L1036" s="43"/>
      <c r="M1036" s="43">
        <f>L1036*K1036</f>
        <v>0</v>
      </c>
      <c r="N1036" s="35">
        <v>4690368000222</v>
      </c>
    </row>
    <row r="1037" spans="1:14" ht="24" customHeight="1" outlineLevel="3" x14ac:dyDescent="0.2">
      <c r="A1037" s="45">
        <v>15494</v>
      </c>
      <c r="B1037" s="37" t="str">
        <f>HYPERLINK("http://sedek.ru/upload/iblock/8a4//ogurets_malysh.jpg","фото")</f>
        <v>фото</v>
      </c>
      <c r="C1037" s="38"/>
      <c r="D1037" s="38"/>
      <c r="E1037" s="39"/>
      <c r="F1037" s="39" t="s">
        <v>1264</v>
      </c>
      <c r="G1037" s="44">
        <v>0.3</v>
      </c>
      <c r="H1037" s="39" t="s">
        <v>101</v>
      </c>
      <c r="I1037" s="39" t="s">
        <v>102</v>
      </c>
      <c r="J1037" s="41">
        <v>3000</v>
      </c>
      <c r="K1037" s="42">
        <v>16.899999999999999</v>
      </c>
      <c r="L1037" s="43"/>
      <c r="M1037" s="43">
        <f>L1037*K1037</f>
        <v>0</v>
      </c>
      <c r="N1037" s="35">
        <v>4607116267912</v>
      </c>
    </row>
    <row r="1038" spans="1:14" ht="24" customHeight="1" outlineLevel="3" x14ac:dyDescent="0.2">
      <c r="A1038" s="45">
        <v>15494</v>
      </c>
      <c r="B1038" s="37" t="str">
        <f>HYPERLINK("http://sedek.ru/upload/iblock/8a4//ogurets_malysh.jpg","фото")</f>
        <v>фото</v>
      </c>
      <c r="C1038" s="38"/>
      <c r="D1038" s="38"/>
      <c r="E1038" s="39"/>
      <c r="F1038" s="39" t="s">
        <v>1265</v>
      </c>
      <c r="G1038" s="44">
        <v>0.3</v>
      </c>
      <c r="H1038" s="39" t="s">
        <v>101</v>
      </c>
      <c r="I1038" s="39" t="s">
        <v>287</v>
      </c>
      <c r="J1038" s="41">
        <v>3000</v>
      </c>
      <c r="K1038" s="42">
        <v>9.4</v>
      </c>
      <c r="L1038" s="43"/>
      <c r="M1038" s="43">
        <f>L1038*K1038</f>
        <v>0</v>
      </c>
      <c r="N1038" s="35">
        <v>4690368011150</v>
      </c>
    </row>
    <row r="1039" spans="1:14" ht="36" customHeight="1" outlineLevel="3" x14ac:dyDescent="0.2">
      <c r="A1039" s="45">
        <v>15191</v>
      </c>
      <c r="B1039" s="37" t="str">
        <f>HYPERLINK("http://sedek.ru/upload/iblock/44f/ogurets_malchik_s_palchik_sedek_f1.jpg","фото")</f>
        <v>фото</v>
      </c>
      <c r="C1039" s="38"/>
      <c r="D1039" s="38"/>
      <c r="E1039" s="39"/>
      <c r="F1039" s="39" t="s">
        <v>1266</v>
      </c>
      <c r="G1039" s="44">
        <v>0.2</v>
      </c>
      <c r="H1039" s="39" t="s">
        <v>101</v>
      </c>
      <c r="I1039" s="39" t="s">
        <v>102</v>
      </c>
      <c r="J1039" s="41">
        <v>4000</v>
      </c>
      <c r="K1039" s="42">
        <v>31</v>
      </c>
      <c r="L1039" s="43"/>
      <c r="M1039" s="43">
        <f>L1039*K1039</f>
        <v>0</v>
      </c>
      <c r="N1039" s="35">
        <v>4690368012317</v>
      </c>
    </row>
    <row r="1040" spans="1:14" ht="36" customHeight="1" outlineLevel="3" x14ac:dyDescent="0.2">
      <c r="A1040" s="45">
        <v>16294</v>
      </c>
      <c r="B1040" s="37" t="str">
        <f>HYPERLINK("http://sedek.ru/upload/iblock/15e/ogurets_marinda_f1.jpg","фото")</f>
        <v>фото</v>
      </c>
      <c r="C1040" s="38"/>
      <c r="D1040" s="38"/>
      <c r="E1040" s="39" t="s">
        <v>1188</v>
      </c>
      <c r="F1040" s="39" t="s">
        <v>1267</v>
      </c>
      <c r="G1040" s="54">
        <v>0.15</v>
      </c>
      <c r="H1040" s="39" t="s">
        <v>101</v>
      </c>
      <c r="I1040" s="39" t="s">
        <v>102</v>
      </c>
      <c r="J1040" s="41">
        <v>4000</v>
      </c>
      <c r="K1040" s="42">
        <v>54.2</v>
      </c>
      <c r="L1040" s="43"/>
      <c r="M1040" s="43">
        <f>L1040*K1040</f>
        <v>0</v>
      </c>
      <c r="N1040" s="35">
        <v>4607015187762</v>
      </c>
    </row>
    <row r="1041" spans="1:14" ht="36" customHeight="1" outlineLevel="3" x14ac:dyDescent="0.2">
      <c r="A1041" s="45">
        <v>14715</v>
      </c>
      <c r="B1041" s="37" t="str">
        <f>HYPERLINK("http://sedek.ru/upload/iblock/8f1/ogurets_maryushka_f1.jpg","фото")</f>
        <v>фото</v>
      </c>
      <c r="C1041" s="38"/>
      <c r="D1041" s="38"/>
      <c r="E1041" s="39"/>
      <c r="F1041" s="39" t="s">
        <v>1268</v>
      </c>
      <c r="G1041" s="44">
        <v>0.3</v>
      </c>
      <c r="H1041" s="39" t="s">
        <v>101</v>
      </c>
      <c r="I1041" s="39" t="s">
        <v>102</v>
      </c>
      <c r="J1041" s="41">
        <v>3000</v>
      </c>
      <c r="K1041" s="42">
        <v>27.4</v>
      </c>
      <c r="L1041" s="43"/>
      <c r="M1041" s="43">
        <f>L1041*K1041</f>
        <v>0</v>
      </c>
      <c r="N1041" s="35">
        <v>4607116269701</v>
      </c>
    </row>
    <row r="1042" spans="1:14" ht="36" customHeight="1" outlineLevel="3" x14ac:dyDescent="0.2">
      <c r="A1042" s="45">
        <v>15568</v>
      </c>
      <c r="B1042" s="37" t="str">
        <f>HYPERLINK("http://sedek.ru/upload/iblock/e95/ogurets_matilda_f1.jpg","фото")</f>
        <v>фото</v>
      </c>
      <c r="C1042" s="38"/>
      <c r="D1042" s="38" t="s">
        <v>266</v>
      </c>
      <c r="E1042" s="39" t="s">
        <v>1188</v>
      </c>
      <c r="F1042" s="39" t="s">
        <v>1269</v>
      </c>
      <c r="G1042" s="44">
        <v>0.2</v>
      </c>
      <c r="H1042" s="39" t="s">
        <v>101</v>
      </c>
      <c r="I1042" s="39" t="s">
        <v>102</v>
      </c>
      <c r="J1042" s="41">
        <v>4000</v>
      </c>
      <c r="K1042" s="42">
        <v>46.2</v>
      </c>
      <c r="L1042" s="43"/>
      <c r="M1042" s="43">
        <f>L1042*K1042</f>
        <v>0</v>
      </c>
      <c r="N1042" s="35">
        <v>4607015187786</v>
      </c>
    </row>
    <row r="1043" spans="1:14" ht="24" customHeight="1" outlineLevel="3" x14ac:dyDescent="0.2">
      <c r="A1043" s="45">
        <v>16097</v>
      </c>
      <c r="B1043" s="37" t="str">
        <f>HYPERLINK("http://sedek.ru/upload/iblock/08e/ogurets_masha_f1.jpg","фото")</f>
        <v>фото</v>
      </c>
      <c r="C1043" s="38"/>
      <c r="D1043" s="38"/>
      <c r="E1043" s="39" t="s">
        <v>1188</v>
      </c>
      <c r="F1043" s="39" t="s">
        <v>1270</v>
      </c>
      <c r="G1043" s="54">
        <v>0.15</v>
      </c>
      <c r="H1043" s="39" t="s">
        <v>101</v>
      </c>
      <c r="I1043" s="39" t="s">
        <v>102</v>
      </c>
      <c r="J1043" s="41">
        <v>4000</v>
      </c>
      <c r="K1043" s="42">
        <v>80</v>
      </c>
      <c r="L1043" s="43"/>
      <c r="M1043" s="43">
        <f>L1043*K1043</f>
        <v>0</v>
      </c>
      <c r="N1043" s="35">
        <v>4607149400546</v>
      </c>
    </row>
    <row r="1044" spans="1:14" ht="36" customHeight="1" outlineLevel="3" x14ac:dyDescent="0.2">
      <c r="A1044" s="36" t="s">
        <v>1271</v>
      </c>
      <c r="B1044" s="37" t="str">
        <f>HYPERLINK("http://sedek.ru/upload/iblock/8de/ogurets_mendelson_f1.jpg","фото")</f>
        <v>фото</v>
      </c>
      <c r="C1044" s="38"/>
      <c r="D1044" s="38" t="s">
        <v>266</v>
      </c>
      <c r="E1044" s="39" t="s">
        <v>1175</v>
      </c>
      <c r="F1044" s="39" t="s">
        <v>1272</v>
      </c>
      <c r="G1044" s="40">
        <v>5</v>
      </c>
      <c r="H1044" s="39" t="s">
        <v>307</v>
      </c>
      <c r="I1044" s="39" t="s">
        <v>102</v>
      </c>
      <c r="J1044" s="41">
        <v>4000</v>
      </c>
      <c r="K1044" s="42">
        <v>113</v>
      </c>
      <c r="L1044" s="43"/>
      <c r="M1044" s="43">
        <f>L1044*K1044</f>
        <v>0</v>
      </c>
      <c r="N1044" s="35">
        <v>4690368026550</v>
      </c>
    </row>
    <row r="1045" spans="1:14" ht="24" customHeight="1" outlineLevel="3" x14ac:dyDescent="0.2">
      <c r="A1045" s="45">
        <v>15978</v>
      </c>
      <c r="B1045" s="37" t="str">
        <f>HYPERLINK("http://sedek.ru/upload/iblock/97b/ogurets_mechta_ogorodnika_f1.jpg","фото")</f>
        <v>фото</v>
      </c>
      <c r="C1045" s="38"/>
      <c r="D1045" s="38"/>
      <c r="E1045" s="39"/>
      <c r="F1045" s="39" t="s">
        <v>1273</v>
      </c>
      <c r="G1045" s="44">
        <v>0.3</v>
      </c>
      <c r="H1045" s="39" t="s">
        <v>101</v>
      </c>
      <c r="I1045" s="39" t="s">
        <v>102</v>
      </c>
      <c r="J1045" s="41">
        <v>3000</v>
      </c>
      <c r="K1045" s="42">
        <v>28.8</v>
      </c>
      <c r="L1045" s="43"/>
      <c r="M1045" s="43">
        <f>L1045*K1045</f>
        <v>0</v>
      </c>
      <c r="N1045" s="35">
        <v>4690368005821</v>
      </c>
    </row>
    <row r="1046" spans="1:14" ht="24" customHeight="1" outlineLevel="3" x14ac:dyDescent="0.2">
      <c r="A1046" s="45">
        <v>16106</v>
      </c>
      <c r="B1046" s="37" t="str">
        <f>HYPERLINK("http://sedek.ru/upload/iblock/abb/ogurets_mizer_f1.jpg","фото")</f>
        <v>фото</v>
      </c>
      <c r="C1046" s="38"/>
      <c r="D1046" s="38"/>
      <c r="E1046" s="39"/>
      <c r="F1046" s="39" t="s">
        <v>1274</v>
      </c>
      <c r="G1046" s="44">
        <v>0.3</v>
      </c>
      <c r="H1046" s="39" t="s">
        <v>101</v>
      </c>
      <c r="I1046" s="39" t="s">
        <v>102</v>
      </c>
      <c r="J1046" s="41">
        <v>3000</v>
      </c>
      <c r="K1046" s="42">
        <v>25.3</v>
      </c>
      <c r="L1046" s="43"/>
      <c r="M1046" s="43">
        <f>L1046*K1046</f>
        <v>0</v>
      </c>
      <c r="N1046" s="35">
        <v>4607149404704</v>
      </c>
    </row>
    <row r="1047" spans="1:14" ht="24" customHeight="1" outlineLevel="3" x14ac:dyDescent="0.2">
      <c r="A1047" s="45">
        <v>16106</v>
      </c>
      <c r="B1047" s="37" t="str">
        <f>HYPERLINK("http://sedek.ru/upload/iblock/abb/ogurets_mizer_f1.jpg","фото")</f>
        <v>фото</v>
      </c>
      <c r="C1047" s="38"/>
      <c r="D1047" s="38"/>
      <c r="E1047" s="39"/>
      <c r="F1047" s="39" t="s">
        <v>1275</v>
      </c>
      <c r="G1047" s="44">
        <v>0.3</v>
      </c>
      <c r="H1047" s="39" t="s">
        <v>101</v>
      </c>
      <c r="I1047" s="39" t="s">
        <v>287</v>
      </c>
      <c r="J1047" s="41">
        <v>3000</v>
      </c>
      <c r="K1047" s="42">
        <v>11.9</v>
      </c>
      <c r="L1047" s="43"/>
      <c r="M1047" s="43">
        <f>L1047*K1047</f>
        <v>0</v>
      </c>
      <c r="N1047" s="35">
        <v>4607149407293</v>
      </c>
    </row>
    <row r="1048" spans="1:14" ht="48" customHeight="1" outlineLevel="3" x14ac:dyDescent="0.2">
      <c r="A1048" s="45">
        <v>15127</v>
      </c>
      <c r="B1048" s="37" t="str">
        <f>HYPERLINK("http://sedek.ru/upload/iblock/af4/ogurets_mizinchik_f1.jpg","фото")</f>
        <v>фото</v>
      </c>
      <c r="C1048" s="38"/>
      <c r="D1048" s="38"/>
      <c r="E1048" s="39"/>
      <c r="F1048" s="39" t="s">
        <v>1276</v>
      </c>
      <c r="G1048" s="44">
        <v>0.3</v>
      </c>
      <c r="H1048" s="39" t="s">
        <v>101</v>
      </c>
      <c r="I1048" s="39" t="s">
        <v>102</v>
      </c>
      <c r="J1048" s="41">
        <v>3000</v>
      </c>
      <c r="K1048" s="42">
        <v>33.299999999999997</v>
      </c>
      <c r="L1048" s="43"/>
      <c r="M1048" s="43">
        <f>L1048*K1048</f>
        <v>0</v>
      </c>
      <c r="N1048" s="35">
        <v>4607149404759</v>
      </c>
    </row>
    <row r="1049" spans="1:14" ht="48" customHeight="1" outlineLevel="3" x14ac:dyDescent="0.2">
      <c r="A1049" s="45">
        <v>15127</v>
      </c>
      <c r="B1049" s="37" t="str">
        <f>HYPERLINK("http://sedek.ru/upload/iblock/af4/ogurets_mizinchik_f1.jpg","фото")</f>
        <v>фото</v>
      </c>
      <c r="C1049" s="38"/>
      <c r="D1049" s="38"/>
      <c r="E1049" s="39"/>
      <c r="F1049" s="39" t="s">
        <v>1277</v>
      </c>
      <c r="G1049" s="44">
        <v>0.3</v>
      </c>
      <c r="H1049" s="39" t="s">
        <v>101</v>
      </c>
      <c r="I1049" s="39" t="s">
        <v>287</v>
      </c>
      <c r="J1049" s="41">
        <v>3000</v>
      </c>
      <c r="K1049" s="42">
        <v>16.3</v>
      </c>
      <c r="L1049" s="43"/>
      <c r="M1049" s="43">
        <f>L1049*K1049</f>
        <v>0</v>
      </c>
      <c r="N1049" s="35">
        <v>4607149407309</v>
      </c>
    </row>
    <row r="1050" spans="1:14" ht="36" customHeight="1" outlineLevel="3" x14ac:dyDescent="0.2">
      <c r="A1050" s="45">
        <v>15227</v>
      </c>
      <c r="B1050" s="37" t="str">
        <f>HYPERLINK("http://sedek.ru/upload/iblock/054/ogurets_mikron.jpg","фото")</f>
        <v>фото</v>
      </c>
      <c r="C1050" s="38"/>
      <c r="D1050" s="38"/>
      <c r="E1050" s="39"/>
      <c r="F1050" s="39" t="s">
        <v>1278</v>
      </c>
      <c r="G1050" s="44">
        <v>0.5</v>
      </c>
      <c r="H1050" s="39" t="s">
        <v>101</v>
      </c>
      <c r="I1050" s="39" t="s">
        <v>102</v>
      </c>
      <c r="J1050" s="41">
        <v>3000</v>
      </c>
      <c r="K1050" s="42">
        <v>22.7</v>
      </c>
      <c r="L1050" s="43"/>
      <c r="M1050" s="43">
        <f>L1050*K1050</f>
        <v>0</v>
      </c>
      <c r="N1050" s="35">
        <v>4607015187793</v>
      </c>
    </row>
    <row r="1051" spans="1:14" ht="36" customHeight="1" outlineLevel="3" x14ac:dyDescent="0.2">
      <c r="A1051" s="45">
        <v>15227</v>
      </c>
      <c r="B1051" s="37" t="str">
        <f>HYPERLINK("http://sedek.ru/upload/iblock/054/ogurets_mikron.jpg","фото")</f>
        <v>фото</v>
      </c>
      <c r="C1051" s="38"/>
      <c r="D1051" s="38"/>
      <c r="E1051" s="39"/>
      <c r="F1051" s="39" t="s">
        <v>1279</v>
      </c>
      <c r="G1051" s="44">
        <v>0.5</v>
      </c>
      <c r="H1051" s="39" t="s">
        <v>101</v>
      </c>
      <c r="I1051" s="39" t="s">
        <v>287</v>
      </c>
      <c r="J1051" s="41">
        <v>3000</v>
      </c>
      <c r="K1051" s="42">
        <v>12.2</v>
      </c>
      <c r="L1051" s="43"/>
      <c r="M1051" s="43">
        <f>L1051*K1051</f>
        <v>0</v>
      </c>
      <c r="N1051" s="35">
        <v>4690368005081</v>
      </c>
    </row>
    <row r="1052" spans="1:14" ht="36" customHeight="1" outlineLevel="3" x14ac:dyDescent="0.2">
      <c r="A1052" s="36" t="s">
        <v>1280</v>
      </c>
      <c r="B1052" s="37" t="str">
        <f>HYPERLINK("http://sedek.ru/upload/iblock/614/ogurets_moy_general_f1.jpg","фото")</f>
        <v>фото</v>
      </c>
      <c r="C1052" s="38"/>
      <c r="D1052" s="38" t="s">
        <v>266</v>
      </c>
      <c r="E1052" s="39"/>
      <c r="F1052" s="39" t="s">
        <v>1281</v>
      </c>
      <c r="G1052" s="44">
        <v>0.2</v>
      </c>
      <c r="H1052" s="39" t="s">
        <v>101</v>
      </c>
      <c r="I1052" s="39" t="s">
        <v>102</v>
      </c>
      <c r="J1052" s="41">
        <v>4000</v>
      </c>
      <c r="K1052" s="42">
        <v>23.1</v>
      </c>
      <c r="L1052" s="43"/>
      <c r="M1052" s="43">
        <f>L1052*K1052</f>
        <v>0</v>
      </c>
      <c r="N1052" s="35">
        <v>4690368025287</v>
      </c>
    </row>
    <row r="1053" spans="1:14" ht="24" customHeight="1" outlineLevel="3" x14ac:dyDescent="0.2">
      <c r="A1053" s="45">
        <v>15416</v>
      </c>
      <c r="B1053" s="37" t="str">
        <f>HYPERLINK("http://www.sedek.ru/upload/iblock/747/ogurets_monastyrskiy.jpg","фото")</f>
        <v>фото</v>
      </c>
      <c r="C1053" s="38"/>
      <c r="D1053" s="38"/>
      <c r="E1053" s="39" t="s">
        <v>1188</v>
      </c>
      <c r="F1053" s="39" t="s">
        <v>1282</v>
      </c>
      <c r="G1053" s="44">
        <v>0.3</v>
      </c>
      <c r="H1053" s="39" t="s">
        <v>101</v>
      </c>
      <c r="I1053" s="39" t="s">
        <v>102</v>
      </c>
      <c r="J1053" s="41">
        <v>3000</v>
      </c>
      <c r="K1053" s="42">
        <v>15.6</v>
      </c>
      <c r="L1053" s="43"/>
      <c r="M1053" s="43">
        <f>L1053*K1053</f>
        <v>0</v>
      </c>
      <c r="N1053" s="35">
        <v>4607015187816</v>
      </c>
    </row>
    <row r="1054" spans="1:14" ht="24" customHeight="1" outlineLevel="3" x14ac:dyDescent="0.2">
      <c r="A1054" s="45">
        <v>15416</v>
      </c>
      <c r="B1054" s="37" t="str">
        <f>HYPERLINK("http://www.sedek.ru/upload/iblock/747/ogurets_monastyrskiy.jpg","фото")</f>
        <v>фото</v>
      </c>
      <c r="C1054" s="38"/>
      <c r="D1054" s="38"/>
      <c r="E1054" s="39" t="s">
        <v>1188</v>
      </c>
      <c r="F1054" s="39" t="s">
        <v>1283</v>
      </c>
      <c r="G1054" s="44">
        <v>0.5</v>
      </c>
      <c r="H1054" s="39" t="s">
        <v>101</v>
      </c>
      <c r="I1054" s="39" t="s">
        <v>287</v>
      </c>
      <c r="J1054" s="41">
        <v>3000</v>
      </c>
      <c r="K1054" s="42">
        <v>7.3</v>
      </c>
      <c r="L1054" s="43"/>
      <c r="M1054" s="43">
        <f>L1054*K1054</f>
        <v>0</v>
      </c>
      <c r="N1054" s="35">
        <v>4690368004640</v>
      </c>
    </row>
    <row r="1055" spans="1:14" ht="36" customHeight="1" outlineLevel="3" x14ac:dyDescent="0.2">
      <c r="A1055" s="36" t="s">
        <v>1284</v>
      </c>
      <c r="B1055" s="37" t="str">
        <f>HYPERLINK("http://sedek.ru/upload/iblock/a32/ogurets_moringa_f1.jpg","фото")</f>
        <v>фото</v>
      </c>
      <c r="C1055" s="38"/>
      <c r="D1055" s="38"/>
      <c r="E1055" s="39"/>
      <c r="F1055" s="39" t="s">
        <v>1285</v>
      </c>
      <c r="G1055" s="44">
        <v>0.2</v>
      </c>
      <c r="H1055" s="39" t="s">
        <v>101</v>
      </c>
      <c r="I1055" s="39" t="s">
        <v>102</v>
      </c>
      <c r="J1055" s="41">
        <v>4000</v>
      </c>
      <c r="K1055" s="42">
        <v>24.5</v>
      </c>
      <c r="L1055" s="43"/>
      <c r="M1055" s="43">
        <f>L1055*K1055</f>
        <v>0</v>
      </c>
      <c r="N1055" s="35">
        <v>4690368026543</v>
      </c>
    </row>
    <row r="1056" spans="1:14" ht="36" customHeight="1" outlineLevel="3" x14ac:dyDescent="0.2">
      <c r="A1056" s="45">
        <v>14881</v>
      </c>
      <c r="B1056" s="37" t="str">
        <f>HYPERLINK("http://sedek.ru/upload/iblock/0e1/ogurets_motylek_f1.jpg","фото")</f>
        <v>фото</v>
      </c>
      <c r="C1056" s="38"/>
      <c r="D1056" s="38"/>
      <c r="E1056" s="39" t="s">
        <v>1180</v>
      </c>
      <c r="F1056" s="39" t="s">
        <v>1286</v>
      </c>
      <c r="G1056" s="44">
        <v>0.3</v>
      </c>
      <c r="H1056" s="39" t="s">
        <v>101</v>
      </c>
      <c r="I1056" s="39" t="s">
        <v>102</v>
      </c>
      <c r="J1056" s="41">
        <v>3000</v>
      </c>
      <c r="K1056" s="42">
        <v>36.5</v>
      </c>
      <c r="L1056" s="43"/>
      <c r="M1056" s="43">
        <f>L1056*K1056</f>
        <v>0</v>
      </c>
      <c r="N1056" s="35">
        <v>4607015185072</v>
      </c>
    </row>
    <row r="1057" spans="1:14" ht="36" customHeight="1" outlineLevel="3" x14ac:dyDescent="0.2">
      <c r="A1057" s="45">
        <v>14881</v>
      </c>
      <c r="B1057" s="37" t="str">
        <f>HYPERLINK("http://sedek.ru/upload/iblock/0e1/ogurets_motylek_f1.jpg","фото")</f>
        <v>фото</v>
      </c>
      <c r="C1057" s="38"/>
      <c r="D1057" s="38"/>
      <c r="E1057" s="39" t="s">
        <v>1180</v>
      </c>
      <c r="F1057" s="39" t="s">
        <v>1287</v>
      </c>
      <c r="G1057" s="44">
        <v>0.3</v>
      </c>
      <c r="H1057" s="39" t="s">
        <v>101</v>
      </c>
      <c r="I1057" s="39" t="s">
        <v>287</v>
      </c>
      <c r="J1057" s="41">
        <v>3000</v>
      </c>
      <c r="K1057" s="42">
        <v>17.3</v>
      </c>
      <c r="L1057" s="43"/>
      <c r="M1057" s="43">
        <f>L1057*K1057</f>
        <v>0</v>
      </c>
      <c r="N1057" s="35">
        <v>4607149408429</v>
      </c>
    </row>
    <row r="1058" spans="1:14" ht="36" customHeight="1" outlineLevel="3" x14ac:dyDescent="0.2">
      <c r="A1058" s="36" t="s">
        <v>1288</v>
      </c>
      <c r="B1058" s="37" t="str">
        <f>HYPERLINK("http://sedek.ru/upload/iblock/49c/ogurets_motsart_f1.jpg","фото")</f>
        <v>фото</v>
      </c>
      <c r="C1058" s="38"/>
      <c r="D1058" s="38"/>
      <c r="E1058" s="39" t="s">
        <v>1175</v>
      </c>
      <c r="F1058" s="39" t="s">
        <v>1289</v>
      </c>
      <c r="G1058" s="40">
        <v>8</v>
      </c>
      <c r="H1058" s="39" t="s">
        <v>307</v>
      </c>
      <c r="I1058" s="39" t="s">
        <v>102</v>
      </c>
      <c r="J1058" s="41">
        <v>4000</v>
      </c>
      <c r="K1058" s="42">
        <v>46.5</v>
      </c>
      <c r="L1058" s="43"/>
      <c r="M1058" s="43">
        <f>L1058*K1058</f>
        <v>0</v>
      </c>
      <c r="N1058" s="35">
        <v>4690368026406</v>
      </c>
    </row>
    <row r="1059" spans="1:14" ht="24" customHeight="1" outlineLevel="3" x14ac:dyDescent="0.2">
      <c r="A1059" s="45">
        <v>14161</v>
      </c>
      <c r="B1059" s="37" t="str">
        <f>HYPERLINK("http://sedek.ru/upload/iblock/233/ogurets_moya_simpatiya_f1.jpg","фото")</f>
        <v>фото</v>
      </c>
      <c r="C1059" s="38"/>
      <c r="D1059" s="38"/>
      <c r="E1059" s="39"/>
      <c r="F1059" s="39" t="s">
        <v>1290</v>
      </c>
      <c r="G1059" s="44">
        <v>0.2</v>
      </c>
      <c r="H1059" s="39" t="s">
        <v>101</v>
      </c>
      <c r="I1059" s="39" t="s">
        <v>102</v>
      </c>
      <c r="J1059" s="41">
        <v>4000</v>
      </c>
      <c r="K1059" s="42">
        <v>47.7</v>
      </c>
      <c r="L1059" s="43"/>
      <c r="M1059" s="43">
        <f>L1059*K1059</f>
        <v>0</v>
      </c>
      <c r="N1059" s="35">
        <v>4690368014502</v>
      </c>
    </row>
    <row r="1060" spans="1:14" ht="36" customHeight="1" outlineLevel="3" x14ac:dyDescent="0.2">
      <c r="A1060" s="45">
        <v>15336</v>
      </c>
      <c r="B1060" s="37" t="str">
        <f>HYPERLINK("http://www.sedek.ru/upload/iblock/1a6/ogurets_muzykalnye_palchiki_f1.jpg","фото")</f>
        <v>фото</v>
      </c>
      <c r="C1060" s="38"/>
      <c r="D1060" s="38"/>
      <c r="E1060" s="39" t="s">
        <v>1175</v>
      </c>
      <c r="F1060" s="39" t="s">
        <v>1291</v>
      </c>
      <c r="G1060" s="44">
        <v>0.2</v>
      </c>
      <c r="H1060" s="39" t="s">
        <v>101</v>
      </c>
      <c r="I1060" s="39" t="s">
        <v>102</v>
      </c>
      <c r="J1060" s="41">
        <v>4000</v>
      </c>
      <c r="K1060" s="42">
        <v>43.4</v>
      </c>
      <c r="L1060" s="43"/>
      <c r="M1060" s="43">
        <f>L1060*K1060</f>
        <v>0</v>
      </c>
      <c r="N1060" s="35">
        <v>4690368009478</v>
      </c>
    </row>
    <row r="1061" spans="1:14" ht="36" customHeight="1" outlineLevel="3" x14ac:dyDescent="0.2">
      <c r="A1061" s="45">
        <v>15209</v>
      </c>
      <c r="B1061" s="37" t="str">
        <f>HYPERLINK("http://www.sedek.ru/upload/iblock/cf7/ogurets_nadezhnyy.jpg","фото")</f>
        <v>фото</v>
      </c>
      <c r="C1061" s="38"/>
      <c r="D1061" s="38" t="s">
        <v>266</v>
      </c>
      <c r="E1061" s="39" t="s">
        <v>1188</v>
      </c>
      <c r="F1061" s="39" t="s">
        <v>1292</v>
      </c>
      <c r="G1061" s="44">
        <v>0.5</v>
      </c>
      <c r="H1061" s="39" t="s">
        <v>101</v>
      </c>
      <c r="I1061" s="39" t="s">
        <v>102</v>
      </c>
      <c r="J1061" s="41">
        <v>3000</v>
      </c>
      <c r="K1061" s="42">
        <v>20</v>
      </c>
      <c r="L1061" s="43"/>
      <c r="M1061" s="43">
        <f>L1061*K1061</f>
        <v>0</v>
      </c>
      <c r="N1061" s="35">
        <v>4607015187847</v>
      </c>
    </row>
    <row r="1062" spans="1:14" ht="36" customHeight="1" outlineLevel="3" x14ac:dyDescent="0.2">
      <c r="A1062" s="45">
        <v>14632</v>
      </c>
      <c r="B1062" s="37" t="str">
        <f>HYPERLINK("http://sedek.ru/upload/iblock/290/ogurets_nastoyashchiy_muzhik_f1.jpg","фото")</f>
        <v>фото</v>
      </c>
      <c r="C1062" s="38"/>
      <c r="D1062" s="38"/>
      <c r="E1062" s="39" t="s">
        <v>1151</v>
      </c>
      <c r="F1062" s="39" t="s">
        <v>1293</v>
      </c>
      <c r="G1062" s="44">
        <v>0.2</v>
      </c>
      <c r="H1062" s="39" t="s">
        <v>101</v>
      </c>
      <c r="I1062" s="39" t="s">
        <v>102</v>
      </c>
      <c r="J1062" s="41">
        <v>4000</v>
      </c>
      <c r="K1062" s="42">
        <v>55.6</v>
      </c>
      <c r="L1062" s="43"/>
      <c r="M1062" s="43">
        <f>L1062*K1062</f>
        <v>0</v>
      </c>
      <c r="N1062" s="35">
        <v>4607149404803</v>
      </c>
    </row>
    <row r="1063" spans="1:14" ht="36" customHeight="1" outlineLevel="3" x14ac:dyDescent="0.2">
      <c r="A1063" s="45">
        <v>15957</v>
      </c>
      <c r="B1063" s="37" t="str">
        <f>HYPERLINK("http://sedek.ru/upload/iblock/463/ogurets_natali_f1.jpg","фото")</f>
        <v>фото</v>
      </c>
      <c r="C1063" s="38"/>
      <c r="D1063" s="38"/>
      <c r="E1063" s="39"/>
      <c r="F1063" s="39" t="s">
        <v>1294</v>
      </c>
      <c r="G1063" s="44">
        <v>0.3</v>
      </c>
      <c r="H1063" s="39" t="s">
        <v>101</v>
      </c>
      <c r="I1063" s="39" t="s">
        <v>102</v>
      </c>
      <c r="J1063" s="41">
        <v>3000</v>
      </c>
      <c r="K1063" s="42">
        <v>22.8</v>
      </c>
      <c r="L1063" s="43"/>
      <c r="M1063" s="43">
        <f>L1063*K1063</f>
        <v>0</v>
      </c>
      <c r="N1063" s="35">
        <v>4607015187854</v>
      </c>
    </row>
    <row r="1064" spans="1:14" ht="36" customHeight="1" outlineLevel="3" x14ac:dyDescent="0.2">
      <c r="A1064" s="45">
        <v>15311</v>
      </c>
      <c r="B1064" s="37" t="str">
        <f>HYPERLINK("http://sedek.ru/upload/iblock/aa4/ogurets_nasha_dasha_f1.jpg","фото")</f>
        <v>фото</v>
      </c>
      <c r="C1064" s="38"/>
      <c r="D1064" s="38" t="s">
        <v>266</v>
      </c>
      <c r="E1064" s="39"/>
      <c r="F1064" s="39" t="s">
        <v>1295</v>
      </c>
      <c r="G1064" s="44">
        <v>0.2</v>
      </c>
      <c r="H1064" s="39" t="s">
        <v>101</v>
      </c>
      <c r="I1064" s="39" t="s">
        <v>102</v>
      </c>
      <c r="J1064" s="41">
        <v>4000</v>
      </c>
      <c r="K1064" s="42">
        <v>41.4</v>
      </c>
      <c r="L1064" s="43"/>
      <c r="M1064" s="43">
        <f>L1064*K1064</f>
        <v>0</v>
      </c>
      <c r="N1064" s="35">
        <v>4690368007788</v>
      </c>
    </row>
    <row r="1065" spans="1:14" ht="36" customHeight="1" outlineLevel="3" x14ac:dyDescent="0.2">
      <c r="A1065" s="45">
        <v>15110</v>
      </c>
      <c r="B1065" s="37" t="str">
        <f>HYPERLINK("http://sedek.ru/upload/iblock/38e/ogurets_nasha_masha_f1.jpg","фото")</f>
        <v>фото</v>
      </c>
      <c r="C1065" s="38"/>
      <c r="D1065" s="38"/>
      <c r="E1065" s="39"/>
      <c r="F1065" s="39" t="s">
        <v>1296</v>
      </c>
      <c r="G1065" s="44">
        <v>0.2</v>
      </c>
      <c r="H1065" s="39" t="s">
        <v>101</v>
      </c>
      <c r="I1065" s="39" t="s">
        <v>102</v>
      </c>
      <c r="J1065" s="41">
        <v>4000</v>
      </c>
      <c r="K1065" s="42">
        <v>41.4</v>
      </c>
      <c r="L1065" s="43"/>
      <c r="M1065" s="43">
        <f>L1065*K1065</f>
        <v>0</v>
      </c>
      <c r="N1065" s="35">
        <v>4690368000239</v>
      </c>
    </row>
    <row r="1066" spans="1:14" ht="36" customHeight="1" outlineLevel="3" x14ac:dyDescent="0.2">
      <c r="A1066" s="45">
        <v>14015</v>
      </c>
      <c r="B1066" s="37" t="str">
        <f>HYPERLINK("http://sedek.ru/upload/iblock/ea5/ogurets_nasha_sasha_f1.jpg","фото")</f>
        <v>фото</v>
      </c>
      <c r="C1066" s="38"/>
      <c r="D1066" s="38" t="s">
        <v>266</v>
      </c>
      <c r="E1066" s="39"/>
      <c r="F1066" s="39" t="s">
        <v>1297</v>
      </c>
      <c r="G1066" s="44">
        <v>0.2</v>
      </c>
      <c r="H1066" s="39" t="s">
        <v>101</v>
      </c>
      <c r="I1066" s="39" t="s">
        <v>102</v>
      </c>
      <c r="J1066" s="41">
        <v>4000</v>
      </c>
      <c r="K1066" s="42">
        <v>39.200000000000003</v>
      </c>
      <c r="L1066" s="43"/>
      <c r="M1066" s="43">
        <f>L1066*K1066</f>
        <v>0</v>
      </c>
      <c r="N1066" s="35">
        <v>4690368007795</v>
      </c>
    </row>
    <row r="1067" spans="1:14" ht="36" customHeight="1" outlineLevel="3" x14ac:dyDescent="0.2">
      <c r="A1067" s="45">
        <v>16320</v>
      </c>
      <c r="B1067" s="37" t="str">
        <f>HYPERLINK("http://sedek.ru/upload/iblock/825/ogurets_nevesta_f1.jpg","фото")</f>
        <v>фото</v>
      </c>
      <c r="C1067" s="38"/>
      <c r="D1067" s="38"/>
      <c r="E1067" s="39"/>
      <c r="F1067" s="39" t="s">
        <v>1298</v>
      </c>
      <c r="G1067" s="44">
        <v>0.3</v>
      </c>
      <c r="H1067" s="39" t="s">
        <v>101</v>
      </c>
      <c r="I1067" s="39" t="s">
        <v>102</v>
      </c>
      <c r="J1067" s="41">
        <v>3000</v>
      </c>
      <c r="K1067" s="42">
        <v>31.9</v>
      </c>
      <c r="L1067" s="43"/>
      <c r="M1067" s="43">
        <f>L1067*K1067</f>
        <v>0</v>
      </c>
      <c r="N1067" s="35">
        <v>4607015187861</v>
      </c>
    </row>
    <row r="1068" spans="1:14" ht="36" customHeight="1" outlineLevel="3" x14ac:dyDescent="0.2">
      <c r="A1068" s="45">
        <v>14823</v>
      </c>
      <c r="B1068" s="37" t="str">
        <f>HYPERLINK("http://www.sedek.ru/upload/iblock/848/ogurets_nezhinskiy_12.jpg","фото")</f>
        <v>фото</v>
      </c>
      <c r="C1068" s="38"/>
      <c r="D1068" s="38"/>
      <c r="E1068" s="39"/>
      <c r="F1068" s="39" t="s">
        <v>1299</v>
      </c>
      <c r="G1068" s="44">
        <v>0.5</v>
      </c>
      <c r="H1068" s="39" t="s">
        <v>101</v>
      </c>
      <c r="I1068" s="39" t="s">
        <v>102</v>
      </c>
      <c r="J1068" s="41">
        <v>3000</v>
      </c>
      <c r="K1068" s="42">
        <v>15.6</v>
      </c>
      <c r="L1068" s="43"/>
      <c r="M1068" s="43">
        <f>L1068*K1068</f>
        <v>0</v>
      </c>
      <c r="N1068" s="35">
        <v>4607116269732</v>
      </c>
    </row>
    <row r="1069" spans="1:14" ht="36" customHeight="1" outlineLevel="3" x14ac:dyDescent="0.2">
      <c r="A1069" s="45">
        <v>14823</v>
      </c>
      <c r="B1069" s="37" t="str">
        <f>HYPERLINK("http://www.sedek.ru/upload/iblock/848/ogurets_nezhinskiy_12.jpg","фото")</f>
        <v>фото</v>
      </c>
      <c r="C1069" s="38"/>
      <c r="D1069" s="38"/>
      <c r="E1069" s="39"/>
      <c r="F1069" s="39" t="s">
        <v>1300</v>
      </c>
      <c r="G1069" s="44">
        <v>0.5</v>
      </c>
      <c r="H1069" s="39" t="s">
        <v>101</v>
      </c>
      <c r="I1069" s="39" t="s">
        <v>287</v>
      </c>
      <c r="J1069" s="41">
        <v>3000</v>
      </c>
      <c r="K1069" s="42">
        <v>6.5</v>
      </c>
      <c r="L1069" s="43"/>
      <c r="M1069" s="43">
        <f>L1069*K1069</f>
        <v>0</v>
      </c>
      <c r="N1069" s="35">
        <v>4690368011174</v>
      </c>
    </row>
    <row r="1070" spans="1:14" ht="24" customHeight="1" outlineLevel="3" x14ac:dyDescent="0.2">
      <c r="A1070" s="36" t="s">
        <v>1301</v>
      </c>
      <c r="B1070" s="37" t="str">
        <f>HYPERLINK("http://sedek.ru/upload/iblock/036/ogurets_nindzya_f1.jpg","фото")</f>
        <v>фото</v>
      </c>
      <c r="C1070" s="38" t="s">
        <v>266</v>
      </c>
      <c r="D1070" s="38" t="s">
        <v>266</v>
      </c>
      <c r="E1070" s="39"/>
      <c r="F1070" s="39" t="s">
        <v>1302</v>
      </c>
      <c r="G1070" s="44">
        <v>0.2</v>
      </c>
      <c r="H1070" s="39" t="s">
        <v>101</v>
      </c>
      <c r="I1070" s="39" t="s">
        <v>102</v>
      </c>
      <c r="J1070" s="41">
        <v>4000</v>
      </c>
      <c r="K1070" s="42">
        <v>25.1</v>
      </c>
      <c r="L1070" s="43"/>
      <c r="M1070" s="43">
        <f>L1070*K1070</f>
        <v>0</v>
      </c>
      <c r="N1070" s="35">
        <v>4690368035071</v>
      </c>
    </row>
    <row r="1071" spans="1:14" ht="36" customHeight="1" outlineLevel="3" x14ac:dyDescent="0.2">
      <c r="A1071" s="45">
        <v>15835</v>
      </c>
      <c r="B1071" s="37" t="str">
        <f>HYPERLINK("http://sedek.ru/upload/iblock/675/ogurets_obilnyy.jpg","фото")</f>
        <v>фото</v>
      </c>
      <c r="C1071" s="38"/>
      <c r="D1071" s="38"/>
      <c r="E1071" s="39"/>
      <c r="F1071" s="39" t="s">
        <v>1303</v>
      </c>
      <c r="G1071" s="44">
        <v>0.5</v>
      </c>
      <c r="H1071" s="39" t="s">
        <v>101</v>
      </c>
      <c r="I1071" s="39" t="s">
        <v>102</v>
      </c>
      <c r="J1071" s="41">
        <v>3000</v>
      </c>
      <c r="K1071" s="42">
        <v>15.6</v>
      </c>
      <c r="L1071" s="43"/>
      <c r="M1071" s="43">
        <f>L1071*K1071</f>
        <v>0</v>
      </c>
      <c r="N1071" s="35">
        <v>4690368015899</v>
      </c>
    </row>
    <row r="1072" spans="1:14" ht="36" customHeight="1" outlineLevel="3" x14ac:dyDescent="0.2">
      <c r="A1072" s="45">
        <v>15835</v>
      </c>
      <c r="B1072" s="37" t="str">
        <f>HYPERLINK("http://sedek.ru/upload/iblock/675/ogurets_obilnyy.jpg","фото")</f>
        <v>фото</v>
      </c>
      <c r="C1072" s="38"/>
      <c r="D1072" s="38"/>
      <c r="E1072" s="39"/>
      <c r="F1072" s="39" t="s">
        <v>1304</v>
      </c>
      <c r="G1072" s="44">
        <v>0.5</v>
      </c>
      <c r="H1072" s="39" t="s">
        <v>101</v>
      </c>
      <c r="I1072" s="39" t="s">
        <v>287</v>
      </c>
      <c r="J1072" s="41">
        <v>3000</v>
      </c>
      <c r="K1072" s="42">
        <v>8</v>
      </c>
      <c r="L1072" s="43"/>
      <c r="M1072" s="43">
        <f>L1072*K1072</f>
        <v>0</v>
      </c>
      <c r="N1072" s="35">
        <v>4690368017183</v>
      </c>
    </row>
    <row r="1073" spans="1:14" ht="36" customHeight="1" outlineLevel="3" x14ac:dyDescent="0.2">
      <c r="A1073" s="45">
        <v>14247</v>
      </c>
      <c r="B1073" s="37" t="str">
        <f>HYPERLINK("http://sedek.ru/upload/iblock/fd9/ogurets_ogorodnik_f1.jpg","фото")</f>
        <v>фото</v>
      </c>
      <c r="C1073" s="38"/>
      <c r="D1073" s="38"/>
      <c r="E1073" s="39"/>
      <c r="F1073" s="39" t="s">
        <v>1305</v>
      </c>
      <c r="G1073" s="44">
        <v>0.3</v>
      </c>
      <c r="H1073" s="39" t="s">
        <v>101</v>
      </c>
      <c r="I1073" s="39" t="s">
        <v>102</v>
      </c>
      <c r="J1073" s="41">
        <v>3000</v>
      </c>
      <c r="K1073" s="42">
        <v>26.6</v>
      </c>
      <c r="L1073" s="43"/>
      <c r="M1073" s="43">
        <f>L1073*K1073</f>
        <v>0</v>
      </c>
      <c r="N1073" s="35">
        <v>4690368014915</v>
      </c>
    </row>
    <row r="1074" spans="1:14" ht="36" customHeight="1" outlineLevel="3" x14ac:dyDescent="0.2">
      <c r="A1074" s="45">
        <v>14247</v>
      </c>
      <c r="B1074" s="37" t="str">
        <f>HYPERLINK("http://sedek.ru/upload/iblock/fd9/ogurets_ogorodnik_f1.jpg","фото")</f>
        <v>фото</v>
      </c>
      <c r="C1074" s="38"/>
      <c r="D1074" s="38"/>
      <c r="E1074" s="39"/>
      <c r="F1074" s="39" t="s">
        <v>1306</v>
      </c>
      <c r="G1074" s="44">
        <v>0.3</v>
      </c>
      <c r="H1074" s="39" t="s">
        <v>101</v>
      </c>
      <c r="I1074" s="39" t="s">
        <v>287</v>
      </c>
      <c r="J1074" s="41">
        <v>3000</v>
      </c>
      <c r="K1074" s="42">
        <v>13.9</v>
      </c>
      <c r="L1074" s="43"/>
      <c r="M1074" s="43">
        <f>L1074*K1074</f>
        <v>0</v>
      </c>
      <c r="N1074" s="35">
        <v>4690368017190</v>
      </c>
    </row>
    <row r="1075" spans="1:14" ht="36" customHeight="1" outlineLevel="3" x14ac:dyDescent="0.2">
      <c r="A1075" s="45">
        <v>14246</v>
      </c>
      <c r="B1075" s="37" t="str">
        <f>HYPERLINK("http://sedek.ru/upload/iblock/427/ogurets_okonno_balkonnyy_f1.jpg","фото")</f>
        <v>фото</v>
      </c>
      <c r="C1075" s="38"/>
      <c r="D1075" s="38"/>
      <c r="E1075" s="39"/>
      <c r="F1075" s="39" t="s">
        <v>1307</v>
      </c>
      <c r="G1075" s="44">
        <v>0.2</v>
      </c>
      <c r="H1075" s="39" t="s">
        <v>101</v>
      </c>
      <c r="I1075" s="39" t="s">
        <v>102</v>
      </c>
      <c r="J1075" s="41">
        <v>4000</v>
      </c>
      <c r="K1075" s="42">
        <v>37.200000000000003</v>
      </c>
      <c r="L1075" s="43"/>
      <c r="M1075" s="43">
        <f>L1075*K1075</f>
        <v>0</v>
      </c>
      <c r="N1075" s="35">
        <v>4690368015974</v>
      </c>
    </row>
    <row r="1076" spans="1:14" ht="36" customHeight="1" outlineLevel="3" x14ac:dyDescent="0.2">
      <c r="A1076" s="45">
        <v>16413</v>
      </c>
      <c r="B1076" s="37" t="str">
        <f>HYPERLINK("http://sedek.ru/upload/iblock/6c3/ogurets_paltsy_paganini_f1.jpg","фото")</f>
        <v>фото</v>
      </c>
      <c r="C1076" s="38"/>
      <c r="D1076" s="38" t="s">
        <v>266</v>
      </c>
      <c r="E1076" s="39" t="s">
        <v>1175</v>
      </c>
      <c r="F1076" s="39" t="s">
        <v>1308</v>
      </c>
      <c r="G1076" s="44">
        <v>0.2</v>
      </c>
      <c r="H1076" s="39" t="s">
        <v>101</v>
      </c>
      <c r="I1076" s="39" t="s">
        <v>102</v>
      </c>
      <c r="J1076" s="41">
        <v>4000</v>
      </c>
      <c r="K1076" s="42">
        <v>41.1</v>
      </c>
      <c r="L1076" s="43"/>
      <c r="M1076" s="43">
        <f>L1076*K1076</f>
        <v>0</v>
      </c>
      <c r="N1076" s="35">
        <v>4690368014946</v>
      </c>
    </row>
    <row r="1077" spans="1:14" ht="24" customHeight="1" outlineLevel="3" x14ac:dyDescent="0.2">
      <c r="A1077" s="45">
        <v>13883</v>
      </c>
      <c r="B1077" s="37" t="str">
        <f>HYPERLINK("http://sedek.ru/upload/iblock/551/ogurets_palchik.jpg","фото")</f>
        <v>фото</v>
      </c>
      <c r="C1077" s="38"/>
      <c r="D1077" s="38"/>
      <c r="E1077" s="39"/>
      <c r="F1077" s="39" t="s">
        <v>1309</v>
      </c>
      <c r="G1077" s="44">
        <v>0.3</v>
      </c>
      <c r="H1077" s="39" t="s">
        <v>101</v>
      </c>
      <c r="I1077" s="39" t="s">
        <v>102</v>
      </c>
      <c r="J1077" s="41">
        <v>3000</v>
      </c>
      <c r="K1077" s="42">
        <v>15.6</v>
      </c>
      <c r="L1077" s="43"/>
      <c r="M1077" s="43">
        <f>L1077*K1077</f>
        <v>0</v>
      </c>
      <c r="N1077" s="35">
        <v>4607015187892</v>
      </c>
    </row>
    <row r="1078" spans="1:14" ht="24" customHeight="1" outlineLevel="3" x14ac:dyDescent="0.2">
      <c r="A1078" s="45">
        <v>13883</v>
      </c>
      <c r="B1078" s="37" t="str">
        <f>HYPERLINK("http://sedek.ru/upload/iblock/551/ogurets_palchik.jpg","фото")</f>
        <v>фото</v>
      </c>
      <c r="C1078" s="38"/>
      <c r="D1078" s="38"/>
      <c r="E1078" s="39"/>
      <c r="F1078" s="39" t="s">
        <v>1310</v>
      </c>
      <c r="G1078" s="44">
        <v>0.3</v>
      </c>
      <c r="H1078" s="39" t="s">
        <v>101</v>
      </c>
      <c r="I1078" s="39" t="s">
        <v>287</v>
      </c>
      <c r="J1078" s="41">
        <v>3000</v>
      </c>
      <c r="K1078" s="42">
        <v>7.1</v>
      </c>
      <c r="L1078" s="43"/>
      <c r="M1078" s="43">
        <f>L1078*K1078</f>
        <v>0</v>
      </c>
      <c r="N1078" s="35">
        <v>4690368006279</v>
      </c>
    </row>
    <row r="1079" spans="1:14" ht="36" customHeight="1" outlineLevel="3" x14ac:dyDescent="0.2">
      <c r="A1079" s="36" t="s">
        <v>1311</v>
      </c>
      <c r="B1079" s="37" t="str">
        <f>HYPERLINK("http://sedek.ru/upload/iblock/5a7/dtjn5mok26gjbom0b3mbx84caj2ooatu/ogurets_palchiki_belye.png","фото")</f>
        <v>фото</v>
      </c>
      <c r="C1079" s="38" t="s">
        <v>266</v>
      </c>
      <c r="D1079" s="38" t="s">
        <v>266</v>
      </c>
      <c r="E1079" s="39"/>
      <c r="F1079" s="39" t="s">
        <v>1312</v>
      </c>
      <c r="G1079" s="44">
        <v>0.3</v>
      </c>
      <c r="H1079" s="39" t="s">
        <v>101</v>
      </c>
      <c r="I1079" s="39" t="s">
        <v>102</v>
      </c>
      <c r="J1079" s="41">
        <v>3000</v>
      </c>
      <c r="K1079" s="42">
        <v>20</v>
      </c>
      <c r="L1079" s="43"/>
      <c r="M1079" s="43">
        <f>L1079*K1079</f>
        <v>0</v>
      </c>
      <c r="N1079" s="35">
        <v>4690368037327</v>
      </c>
    </row>
    <row r="1080" spans="1:14" ht="24" customHeight="1" outlineLevel="3" x14ac:dyDescent="0.2">
      <c r="A1080" s="45">
        <v>15500</v>
      </c>
      <c r="B1080" s="37" t="str">
        <f>HYPERLINK("http://www.sedek.ru/upload/iblock/046/ogurets_parad.jpg","фото")</f>
        <v>фото</v>
      </c>
      <c r="C1080" s="38"/>
      <c r="D1080" s="38"/>
      <c r="E1080" s="39" t="s">
        <v>1188</v>
      </c>
      <c r="F1080" s="39" t="s">
        <v>1313</v>
      </c>
      <c r="G1080" s="44">
        <v>0.5</v>
      </c>
      <c r="H1080" s="39" t="s">
        <v>101</v>
      </c>
      <c r="I1080" s="39" t="s">
        <v>102</v>
      </c>
      <c r="J1080" s="41">
        <v>3000</v>
      </c>
      <c r="K1080" s="42">
        <v>16.399999999999999</v>
      </c>
      <c r="L1080" s="43"/>
      <c r="M1080" s="43">
        <f>L1080*K1080</f>
        <v>0</v>
      </c>
      <c r="N1080" s="35">
        <v>4607116269619</v>
      </c>
    </row>
    <row r="1081" spans="1:14" ht="24" customHeight="1" outlineLevel="3" x14ac:dyDescent="0.2">
      <c r="A1081" s="45">
        <v>14805</v>
      </c>
      <c r="B1081" s="37" t="str">
        <f>HYPERLINK("http://sedek.ru/upload/iblock/e65/ogurets_parus_f1.jpg","фото")</f>
        <v>фото</v>
      </c>
      <c r="C1081" s="38"/>
      <c r="D1081" s="38"/>
      <c r="E1081" s="39"/>
      <c r="F1081" s="39" t="s">
        <v>1314</v>
      </c>
      <c r="G1081" s="44">
        <v>0.3</v>
      </c>
      <c r="H1081" s="39" t="s">
        <v>101</v>
      </c>
      <c r="I1081" s="39" t="s">
        <v>102</v>
      </c>
      <c r="J1081" s="41">
        <v>3000</v>
      </c>
      <c r="K1081" s="42">
        <v>22</v>
      </c>
      <c r="L1081" s="43"/>
      <c r="M1081" s="43">
        <f>L1081*K1081</f>
        <v>0</v>
      </c>
      <c r="N1081" s="35">
        <v>4607015187915</v>
      </c>
    </row>
    <row r="1082" spans="1:14" ht="36" customHeight="1" outlineLevel="3" x14ac:dyDescent="0.2">
      <c r="A1082" s="45">
        <v>14755</v>
      </c>
      <c r="B1082" s="37" t="str">
        <f>HYPERLINK("http://sedek.ru/upload/iblock/69b/ogurets_patriarkh_f1.jpg","фото")</f>
        <v>фото</v>
      </c>
      <c r="C1082" s="38"/>
      <c r="D1082" s="38"/>
      <c r="E1082" s="39"/>
      <c r="F1082" s="39" t="s">
        <v>1315</v>
      </c>
      <c r="G1082" s="44">
        <v>0.3</v>
      </c>
      <c r="H1082" s="39" t="s">
        <v>101</v>
      </c>
      <c r="I1082" s="39" t="s">
        <v>102</v>
      </c>
      <c r="J1082" s="41">
        <v>3000</v>
      </c>
      <c r="K1082" s="42">
        <v>22</v>
      </c>
      <c r="L1082" s="43"/>
      <c r="M1082" s="43">
        <f>L1082*K1082</f>
        <v>0</v>
      </c>
      <c r="N1082" s="35">
        <v>4607015185089</v>
      </c>
    </row>
    <row r="1083" spans="1:14" ht="36" customHeight="1" outlineLevel="3" x14ac:dyDescent="0.2">
      <c r="A1083" s="45">
        <v>15749</v>
      </c>
      <c r="B1083" s="37" t="str">
        <f>HYPERLINK("http://sedek.ru/upload/iblock/148/ogurets_patti_f1.jpg","фото")</f>
        <v>фото</v>
      </c>
      <c r="C1083" s="38"/>
      <c r="D1083" s="38"/>
      <c r="E1083" s="39" t="s">
        <v>1188</v>
      </c>
      <c r="F1083" s="39" t="s">
        <v>1316</v>
      </c>
      <c r="G1083" s="44">
        <v>0.2</v>
      </c>
      <c r="H1083" s="39" t="s">
        <v>101</v>
      </c>
      <c r="I1083" s="39" t="s">
        <v>102</v>
      </c>
      <c r="J1083" s="41">
        <v>4000</v>
      </c>
      <c r="K1083" s="42">
        <v>60.5</v>
      </c>
      <c r="L1083" s="43"/>
      <c r="M1083" s="43">
        <f>L1083*K1083</f>
        <v>0</v>
      </c>
      <c r="N1083" s="35">
        <v>4607015187922</v>
      </c>
    </row>
    <row r="1084" spans="1:14" ht="36" customHeight="1" outlineLevel="3" x14ac:dyDescent="0.2">
      <c r="A1084" s="45">
        <v>15360</v>
      </c>
      <c r="B1084" s="37" t="str">
        <f>HYPERLINK("http://sedek.ru/upload/iblock/521/ogurets_pekinskiy_vkusnyy_f1.jpg","фото")</f>
        <v>фото</v>
      </c>
      <c r="C1084" s="38"/>
      <c r="D1084" s="38"/>
      <c r="E1084" s="39"/>
      <c r="F1084" s="39" t="s">
        <v>1317</v>
      </c>
      <c r="G1084" s="44">
        <v>0.2</v>
      </c>
      <c r="H1084" s="39" t="s">
        <v>101</v>
      </c>
      <c r="I1084" s="39" t="s">
        <v>102</v>
      </c>
      <c r="J1084" s="41">
        <v>4000</v>
      </c>
      <c r="K1084" s="42">
        <v>48.1</v>
      </c>
      <c r="L1084" s="43"/>
      <c r="M1084" s="43">
        <f>L1084*K1084</f>
        <v>0</v>
      </c>
      <c r="N1084" s="35">
        <v>4607116267424</v>
      </c>
    </row>
    <row r="1085" spans="1:14" ht="36" customHeight="1" outlineLevel="3" x14ac:dyDescent="0.2">
      <c r="A1085" s="45">
        <v>13954</v>
      </c>
      <c r="B1085" s="37" t="str">
        <f>HYPERLINK("http://sedek.ru/upload/iblock/554/ogurets_podarok_vostoka_f1.jpg","фото")</f>
        <v>фото</v>
      </c>
      <c r="C1085" s="38"/>
      <c r="D1085" s="38" t="s">
        <v>266</v>
      </c>
      <c r="E1085" s="39"/>
      <c r="F1085" s="39" t="s">
        <v>1318</v>
      </c>
      <c r="G1085" s="44">
        <v>0.2</v>
      </c>
      <c r="H1085" s="39" t="s">
        <v>101</v>
      </c>
      <c r="I1085" s="39" t="s">
        <v>102</v>
      </c>
      <c r="J1085" s="41">
        <v>4000</v>
      </c>
      <c r="K1085" s="42">
        <v>24.5</v>
      </c>
      <c r="L1085" s="43"/>
      <c r="M1085" s="43">
        <f>L1085*K1085</f>
        <v>0</v>
      </c>
      <c r="N1085" s="35">
        <v>4690368023665</v>
      </c>
    </row>
    <row r="1086" spans="1:14" ht="36" customHeight="1" outlineLevel="3" x14ac:dyDescent="0.2">
      <c r="A1086" s="45">
        <v>13595</v>
      </c>
      <c r="B1086" s="37" t="str">
        <f>HYPERLINK("http://sedek.ru/upload/iblock/6c0/ogurets_podmoskovnye_vechera_sedek_f1.jpg","фото")</f>
        <v>фото</v>
      </c>
      <c r="C1086" s="38"/>
      <c r="D1086" s="38"/>
      <c r="E1086" s="39"/>
      <c r="F1086" s="39" t="s">
        <v>1319</v>
      </c>
      <c r="G1086" s="44">
        <v>0.2</v>
      </c>
      <c r="H1086" s="39" t="s">
        <v>101</v>
      </c>
      <c r="I1086" s="39" t="s">
        <v>102</v>
      </c>
      <c r="J1086" s="41">
        <v>4000</v>
      </c>
      <c r="K1086" s="42">
        <v>40.799999999999997</v>
      </c>
      <c r="L1086" s="43"/>
      <c r="M1086" s="43">
        <f>L1086*K1086</f>
        <v>0</v>
      </c>
      <c r="N1086" s="35">
        <v>4690368012584</v>
      </c>
    </row>
    <row r="1087" spans="1:14" ht="24" customHeight="1" outlineLevel="3" x14ac:dyDescent="0.2">
      <c r="A1087" s="45">
        <v>16250</v>
      </c>
      <c r="B1087" s="37" t="str">
        <f>HYPERLINK("http://sedek.ru/upload/iblock/774/ogurets_prazdnik_polya_f1.jpg","фото")</f>
        <v>фото</v>
      </c>
      <c r="C1087" s="38"/>
      <c r="D1087" s="38"/>
      <c r="E1087" s="39"/>
      <c r="F1087" s="39" t="s">
        <v>1320</v>
      </c>
      <c r="G1087" s="44">
        <v>0.3</v>
      </c>
      <c r="H1087" s="39" t="s">
        <v>101</v>
      </c>
      <c r="I1087" s="39" t="s">
        <v>102</v>
      </c>
      <c r="J1087" s="41">
        <v>3000</v>
      </c>
      <c r="K1087" s="42">
        <v>25</v>
      </c>
      <c r="L1087" s="43"/>
      <c r="M1087" s="43">
        <f>L1087*K1087</f>
        <v>0</v>
      </c>
      <c r="N1087" s="35">
        <v>4690368014854</v>
      </c>
    </row>
    <row r="1088" spans="1:14" ht="36" customHeight="1" outlineLevel="3" x14ac:dyDescent="0.2">
      <c r="A1088" s="45">
        <v>14255</v>
      </c>
      <c r="B1088" s="37" t="str">
        <f>HYPERLINK("http://sedek.ru/upload/iblock/809/ogurets_prestizh_f1.jpg","фото")</f>
        <v>фото</v>
      </c>
      <c r="C1088" s="38"/>
      <c r="D1088" s="38"/>
      <c r="E1088" s="39"/>
      <c r="F1088" s="39" t="s">
        <v>1321</v>
      </c>
      <c r="G1088" s="44">
        <v>0.2</v>
      </c>
      <c r="H1088" s="39" t="s">
        <v>101</v>
      </c>
      <c r="I1088" s="39" t="s">
        <v>102</v>
      </c>
      <c r="J1088" s="41">
        <v>4000</v>
      </c>
      <c r="K1088" s="42">
        <v>54.1</v>
      </c>
      <c r="L1088" s="43"/>
      <c r="M1088" s="43">
        <f>L1088*K1088</f>
        <v>0</v>
      </c>
      <c r="N1088" s="35">
        <v>4607015187953</v>
      </c>
    </row>
    <row r="1089" spans="1:14" ht="24" customHeight="1" outlineLevel="3" x14ac:dyDescent="0.2">
      <c r="A1089" s="45">
        <v>14515</v>
      </c>
      <c r="B1089" s="37" t="str">
        <f>HYPERLINK("http://sedek.ru/upload/iblock/831/ogurets_prestol_f1.jpg","фото")</f>
        <v>фото</v>
      </c>
      <c r="C1089" s="38"/>
      <c r="D1089" s="38"/>
      <c r="E1089" s="39"/>
      <c r="F1089" s="39" t="s">
        <v>1322</v>
      </c>
      <c r="G1089" s="44">
        <v>0.3</v>
      </c>
      <c r="H1089" s="39" t="s">
        <v>101</v>
      </c>
      <c r="I1089" s="39" t="s">
        <v>102</v>
      </c>
      <c r="J1089" s="41">
        <v>3000</v>
      </c>
      <c r="K1089" s="42">
        <v>22</v>
      </c>
      <c r="L1089" s="43"/>
      <c r="M1089" s="43">
        <f>L1089*K1089</f>
        <v>0</v>
      </c>
      <c r="N1089" s="35">
        <v>4607116269718</v>
      </c>
    </row>
    <row r="1090" spans="1:14" ht="24" customHeight="1" outlineLevel="3" x14ac:dyDescent="0.2">
      <c r="A1090" s="45">
        <v>14193</v>
      </c>
      <c r="B1090" s="37" t="str">
        <f>HYPERLINK("http://sedek.ru/upload/iblock/163/ogurets_pribylnyy.jpg","фото")</f>
        <v>фото</v>
      </c>
      <c r="C1090" s="38"/>
      <c r="D1090" s="38"/>
      <c r="E1090" s="39"/>
      <c r="F1090" s="39" t="s">
        <v>1323</v>
      </c>
      <c r="G1090" s="44">
        <v>0.5</v>
      </c>
      <c r="H1090" s="39" t="s">
        <v>101</v>
      </c>
      <c r="I1090" s="39" t="s">
        <v>102</v>
      </c>
      <c r="J1090" s="41">
        <v>3000</v>
      </c>
      <c r="K1090" s="42">
        <v>19.100000000000001</v>
      </c>
      <c r="L1090" s="43"/>
      <c r="M1090" s="43">
        <f>L1090*K1090</f>
        <v>0</v>
      </c>
      <c r="N1090" s="35">
        <v>4607015187977</v>
      </c>
    </row>
    <row r="1091" spans="1:14" ht="24" customHeight="1" outlineLevel="3" x14ac:dyDescent="0.2">
      <c r="A1091" s="45">
        <v>14193</v>
      </c>
      <c r="B1091" s="37" t="str">
        <f>HYPERLINK("http://sedek.ru/upload/iblock/163/ogurets_pribylnyy.jpg","фото")</f>
        <v>фото</v>
      </c>
      <c r="C1091" s="38"/>
      <c r="D1091" s="38"/>
      <c r="E1091" s="39"/>
      <c r="F1091" s="39" t="s">
        <v>1324</v>
      </c>
      <c r="G1091" s="44">
        <v>0.5</v>
      </c>
      <c r="H1091" s="39" t="s">
        <v>101</v>
      </c>
      <c r="I1091" s="39" t="s">
        <v>287</v>
      </c>
      <c r="J1091" s="41">
        <v>3000</v>
      </c>
      <c r="K1091" s="42">
        <v>8.8000000000000007</v>
      </c>
      <c r="L1091" s="43"/>
      <c r="M1091" s="43">
        <f>L1091*K1091</f>
        <v>0</v>
      </c>
      <c r="N1091" s="35">
        <v>4690368005104</v>
      </c>
    </row>
    <row r="1092" spans="1:14" ht="36" customHeight="1" outlineLevel="3" x14ac:dyDescent="0.2">
      <c r="A1092" s="45">
        <v>16547</v>
      </c>
      <c r="B1092" s="37" t="str">
        <f>HYPERLINK("http://sedek.ru/upload/iblock/c3d/ogurets_primadonna_f1.jpg","фото")</f>
        <v>фото</v>
      </c>
      <c r="C1092" s="38"/>
      <c r="D1092" s="38"/>
      <c r="E1092" s="39" t="s">
        <v>1188</v>
      </c>
      <c r="F1092" s="39" t="s">
        <v>1325</v>
      </c>
      <c r="G1092" s="44">
        <v>0.2</v>
      </c>
      <c r="H1092" s="39" t="s">
        <v>101</v>
      </c>
      <c r="I1092" s="39" t="s">
        <v>102</v>
      </c>
      <c r="J1092" s="41">
        <v>4000</v>
      </c>
      <c r="K1092" s="42">
        <v>54.2</v>
      </c>
      <c r="L1092" s="43"/>
      <c r="M1092" s="43">
        <f>L1092*K1092</f>
        <v>0</v>
      </c>
      <c r="N1092" s="35">
        <v>4607015187984</v>
      </c>
    </row>
    <row r="1093" spans="1:14" ht="36" customHeight="1" outlineLevel="3" x14ac:dyDescent="0.2">
      <c r="A1093" s="36" t="s">
        <v>1326</v>
      </c>
      <c r="B1093" s="37" t="str">
        <f>HYPERLINK("http://www.sedek.ru/upload/iblock/35d/ogurets_prokofev_f1_professionalnye_semena.jpg","фото")</f>
        <v>фото</v>
      </c>
      <c r="C1093" s="38"/>
      <c r="D1093" s="38"/>
      <c r="E1093" s="39" t="s">
        <v>1175</v>
      </c>
      <c r="F1093" s="39" t="s">
        <v>1327</v>
      </c>
      <c r="G1093" s="40">
        <v>8</v>
      </c>
      <c r="H1093" s="39" t="s">
        <v>307</v>
      </c>
      <c r="I1093" s="39" t="s">
        <v>102</v>
      </c>
      <c r="J1093" s="41">
        <v>4000</v>
      </c>
      <c r="K1093" s="42">
        <v>86.2</v>
      </c>
      <c r="L1093" s="43"/>
      <c r="M1093" s="43">
        <f>L1093*K1093</f>
        <v>0</v>
      </c>
      <c r="N1093" s="35">
        <v>4690368030847</v>
      </c>
    </row>
    <row r="1094" spans="1:14" ht="24" customHeight="1" outlineLevel="3" x14ac:dyDescent="0.2">
      <c r="A1094" s="45">
        <v>13818</v>
      </c>
      <c r="B1094" s="37" t="str">
        <f>HYPERLINK("http://sedek.ru/upload/iblock/0ca/ogurets_raznosol_f1.jpg","фото")</f>
        <v>фото</v>
      </c>
      <c r="C1094" s="38"/>
      <c r="D1094" s="38"/>
      <c r="E1094" s="39"/>
      <c r="F1094" s="39" t="s">
        <v>1328</v>
      </c>
      <c r="G1094" s="44">
        <v>0.3</v>
      </c>
      <c r="H1094" s="39" t="s">
        <v>101</v>
      </c>
      <c r="I1094" s="39" t="s">
        <v>102</v>
      </c>
      <c r="J1094" s="41">
        <v>3000</v>
      </c>
      <c r="K1094" s="42">
        <v>25.9</v>
      </c>
      <c r="L1094" s="43"/>
      <c r="M1094" s="43">
        <f>L1094*K1094</f>
        <v>0</v>
      </c>
      <c r="N1094" s="35">
        <v>4690368005838</v>
      </c>
    </row>
    <row r="1095" spans="1:14" ht="36" customHeight="1" outlineLevel="3" x14ac:dyDescent="0.2">
      <c r="A1095" s="45">
        <v>15631</v>
      </c>
      <c r="B1095" s="37" t="str">
        <f>HYPERLINK("http://sedek.ru/upload/iblock/7ae/ogurets_rita_f1.jpg","фото")</f>
        <v>фото</v>
      </c>
      <c r="C1095" s="38"/>
      <c r="D1095" s="38"/>
      <c r="E1095" s="39"/>
      <c r="F1095" s="39" t="s">
        <v>1329</v>
      </c>
      <c r="G1095" s="44">
        <v>0.2</v>
      </c>
      <c r="H1095" s="39" t="s">
        <v>101</v>
      </c>
      <c r="I1095" s="39" t="s">
        <v>102</v>
      </c>
      <c r="J1095" s="41">
        <v>4000</v>
      </c>
      <c r="K1095" s="42">
        <v>18.3</v>
      </c>
      <c r="L1095" s="43"/>
      <c r="M1095" s="43">
        <f>L1095*K1095</f>
        <v>0</v>
      </c>
      <c r="N1095" s="35">
        <v>4690368015332</v>
      </c>
    </row>
    <row r="1096" spans="1:14" ht="36" customHeight="1" outlineLevel="3" x14ac:dyDescent="0.2">
      <c r="A1096" s="36" t="s">
        <v>1330</v>
      </c>
      <c r="B1096" s="37" t="str">
        <f>HYPERLINK("http://www.sedek.ru/upload/iblock/872/ogurets_rikhter_f1.jpg","Фото")</f>
        <v>Фото</v>
      </c>
      <c r="C1096" s="38"/>
      <c r="D1096" s="38" t="s">
        <v>266</v>
      </c>
      <c r="E1096" s="39" t="s">
        <v>1175</v>
      </c>
      <c r="F1096" s="39" t="s">
        <v>1331</v>
      </c>
      <c r="G1096" s="40">
        <v>8</v>
      </c>
      <c r="H1096" s="39" t="s">
        <v>307</v>
      </c>
      <c r="I1096" s="39" t="s">
        <v>102</v>
      </c>
      <c r="J1096" s="41">
        <v>4000</v>
      </c>
      <c r="K1096" s="42">
        <v>49</v>
      </c>
      <c r="L1096" s="43"/>
      <c r="M1096" s="43">
        <f>L1096*K1096</f>
        <v>0</v>
      </c>
      <c r="N1096" s="35">
        <v>4690368026451</v>
      </c>
    </row>
    <row r="1097" spans="1:14" ht="24" customHeight="1" outlineLevel="3" x14ac:dyDescent="0.2">
      <c r="A1097" s="45">
        <v>14077</v>
      </c>
      <c r="B1097" s="37" t="str">
        <f>HYPERLINK("http://sedek.ru/upload/iblock/c78/ogurets_romantik_f1.jpg","фото")</f>
        <v>фото</v>
      </c>
      <c r="C1097" s="38"/>
      <c r="D1097" s="38"/>
      <c r="E1097" s="39"/>
      <c r="F1097" s="39" t="s">
        <v>1332</v>
      </c>
      <c r="G1097" s="44">
        <v>0.3</v>
      </c>
      <c r="H1097" s="39" t="s">
        <v>101</v>
      </c>
      <c r="I1097" s="39" t="s">
        <v>102</v>
      </c>
      <c r="J1097" s="41">
        <v>3000</v>
      </c>
      <c r="K1097" s="42">
        <v>20</v>
      </c>
      <c r="L1097" s="43"/>
      <c r="M1097" s="43">
        <f>L1097*K1097</f>
        <v>0</v>
      </c>
      <c r="N1097" s="35">
        <v>4607116269725</v>
      </c>
    </row>
    <row r="1098" spans="1:14" ht="36" customHeight="1" outlineLevel="3" x14ac:dyDescent="0.2">
      <c r="A1098" s="45">
        <v>15672</v>
      </c>
      <c r="B1098" s="37" t="str">
        <f>HYPERLINK("http://sedek.ru/upload/iblock/c2f/ogurets_russkiy_stil_f1.jpg","фото")</f>
        <v>фото</v>
      </c>
      <c r="C1098" s="38"/>
      <c r="D1098" s="38" t="s">
        <v>266</v>
      </c>
      <c r="E1098" s="39" t="s">
        <v>1188</v>
      </c>
      <c r="F1098" s="39" t="s">
        <v>1333</v>
      </c>
      <c r="G1098" s="44">
        <v>0.2</v>
      </c>
      <c r="H1098" s="39" t="s">
        <v>101</v>
      </c>
      <c r="I1098" s="39" t="s">
        <v>102</v>
      </c>
      <c r="J1098" s="41">
        <v>4000</v>
      </c>
      <c r="K1098" s="42">
        <v>47.5</v>
      </c>
      <c r="L1098" s="43"/>
      <c r="M1098" s="43">
        <f>L1098*K1098</f>
        <v>0</v>
      </c>
      <c r="N1098" s="35">
        <v>4607116269602</v>
      </c>
    </row>
    <row r="1099" spans="1:14" ht="36" customHeight="1" outlineLevel="3" x14ac:dyDescent="0.2">
      <c r="A1099" s="36" t="s">
        <v>1334</v>
      </c>
      <c r="B1099" s="37" t="str">
        <f>HYPERLINK("http://sedek.ru/upload/iblock/0ef/ogurets_saleri_f1.jpg","фото")</f>
        <v>фото</v>
      </c>
      <c r="C1099" s="38"/>
      <c r="D1099" s="38" t="s">
        <v>266</v>
      </c>
      <c r="E1099" s="39" t="s">
        <v>1175</v>
      </c>
      <c r="F1099" s="39" t="s">
        <v>1335</v>
      </c>
      <c r="G1099" s="40">
        <v>8</v>
      </c>
      <c r="H1099" s="39" t="s">
        <v>307</v>
      </c>
      <c r="I1099" s="39" t="s">
        <v>102</v>
      </c>
      <c r="J1099" s="41">
        <v>4000</v>
      </c>
      <c r="K1099" s="42">
        <v>49</v>
      </c>
      <c r="L1099" s="43"/>
      <c r="M1099" s="43">
        <f>L1099*K1099</f>
        <v>0</v>
      </c>
      <c r="N1099" s="35">
        <v>4690368027182</v>
      </c>
    </row>
    <row r="1100" spans="1:14" ht="12" customHeight="1" outlineLevel="3" x14ac:dyDescent="0.2">
      <c r="A1100" s="36" t="s">
        <v>1336</v>
      </c>
      <c r="B1100" s="37" t="str">
        <f>HYPERLINK("https://www.sedek.ru/upload/iblock/187/i48urd4mju1lq84oxlr4cr7xe6oc25mc/ogurets_samkon_f1.jpg","фото")</f>
        <v>фото</v>
      </c>
      <c r="C1100" s="38" t="s">
        <v>266</v>
      </c>
      <c r="D1100" s="38"/>
      <c r="E1100" s="39" t="s">
        <v>1337</v>
      </c>
      <c r="F1100" s="39" t="s">
        <v>1338</v>
      </c>
      <c r="G1100" s="44">
        <v>0.2</v>
      </c>
      <c r="H1100" s="39"/>
      <c r="I1100" s="39" t="s">
        <v>102</v>
      </c>
      <c r="J1100" s="41">
        <v>4000</v>
      </c>
      <c r="K1100" s="42">
        <v>44.7</v>
      </c>
      <c r="L1100" s="43"/>
      <c r="M1100" s="43">
        <f>L1100*K1100</f>
        <v>0</v>
      </c>
      <c r="N1100" s="35">
        <v>4690368044981</v>
      </c>
    </row>
    <row r="1101" spans="1:14" ht="12" customHeight="1" outlineLevel="3" x14ac:dyDescent="0.2">
      <c r="A1101" s="36" t="s">
        <v>1339</v>
      </c>
      <c r="B1101" s="37" t="str">
        <f>HYPERLINK("https://www.sedek.ru/upload/iblock/ec6/v6yyn0n4endaqkkcm7ot3fe18ov3mvdp/ogurets_samkon_9_f1.jpg","фото")</f>
        <v>фото</v>
      </c>
      <c r="C1101" s="38" t="s">
        <v>266</v>
      </c>
      <c r="D1101" s="38"/>
      <c r="E1101" s="39" t="s">
        <v>1337</v>
      </c>
      <c r="F1101" s="39" t="s">
        <v>1340</v>
      </c>
      <c r="G1101" s="44">
        <v>0.2</v>
      </c>
      <c r="H1101" s="39"/>
      <c r="I1101" s="39" t="s">
        <v>102</v>
      </c>
      <c r="J1101" s="41">
        <v>4000</v>
      </c>
      <c r="K1101" s="42">
        <v>44.7</v>
      </c>
      <c r="L1101" s="43"/>
      <c r="M1101" s="43">
        <f>L1101*K1101</f>
        <v>0</v>
      </c>
      <c r="N1101" s="35">
        <v>4690368044998</v>
      </c>
    </row>
    <row r="1102" spans="1:14" ht="12" customHeight="1" outlineLevel="3" x14ac:dyDescent="0.2">
      <c r="A1102" s="36" t="s">
        <v>1341</v>
      </c>
      <c r="B1102" s="37" t="str">
        <f>HYPERLINK("https://www.sedek.ru upload/iblock/754/kdzhzdinoar9mvo1byi6fgfzkshd9y4s/ogurets_samkon_10_f1.jpg","фото")</f>
        <v>фото</v>
      </c>
      <c r="C1102" s="38" t="s">
        <v>266</v>
      </c>
      <c r="D1102" s="38"/>
      <c r="E1102" s="39" t="s">
        <v>1337</v>
      </c>
      <c r="F1102" s="39" t="s">
        <v>1342</v>
      </c>
      <c r="G1102" s="44">
        <v>0.2</v>
      </c>
      <c r="H1102" s="39"/>
      <c r="I1102" s="39" t="s">
        <v>102</v>
      </c>
      <c r="J1102" s="41">
        <v>4000</v>
      </c>
      <c r="K1102" s="42">
        <v>44.7</v>
      </c>
      <c r="L1102" s="43"/>
      <c r="M1102" s="43">
        <f>L1102*K1102</f>
        <v>0</v>
      </c>
      <c r="N1102" s="35">
        <v>4690368045001</v>
      </c>
    </row>
    <row r="1103" spans="1:14" ht="12" customHeight="1" outlineLevel="3" x14ac:dyDescent="0.2">
      <c r="A1103" s="36" t="s">
        <v>1343</v>
      </c>
      <c r="B1103" s="37" t="str">
        <f>HYPERLINK("https://www.sedek.ru/upload/iblock/9d5/ewmlgdki04almp2ku4vkn0kt9x4bchpp/ogurets_samkon_11_f1.jpg","фото")</f>
        <v>фото</v>
      </c>
      <c r="C1103" s="38" t="s">
        <v>266</v>
      </c>
      <c r="D1103" s="38"/>
      <c r="E1103" s="39" t="s">
        <v>1337</v>
      </c>
      <c r="F1103" s="39" t="s">
        <v>1344</v>
      </c>
      <c r="G1103" s="44">
        <v>0.2</v>
      </c>
      <c r="H1103" s="39"/>
      <c r="I1103" s="39" t="s">
        <v>102</v>
      </c>
      <c r="J1103" s="41">
        <v>4000</v>
      </c>
      <c r="K1103" s="42">
        <v>44.7</v>
      </c>
      <c r="L1103" s="43"/>
      <c r="M1103" s="43">
        <f>L1103*K1103</f>
        <v>0</v>
      </c>
      <c r="N1103" s="35">
        <v>4690368045018</v>
      </c>
    </row>
    <row r="1104" spans="1:14" ht="12" customHeight="1" outlineLevel="3" x14ac:dyDescent="0.2">
      <c r="A1104" s="36" t="s">
        <v>1345</v>
      </c>
      <c r="B1104" s="37" t="str">
        <f>HYPERLINK("https://www.sedek.ru /upload/iblock/3b0/wlsssenu8vg3ns40p0x146prh4xzv0a6/ogurets_samkon_12_f1.jpg","фото")</f>
        <v>фото</v>
      </c>
      <c r="C1104" s="38" t="s">
        <v>266</v>
      </c>
      <c r="D1104" s="38"/>
      <c r="E1104" s="39" t="s">
        <v>1337</v>
      </c>
      <c r="F1104" s="39" t="s">
        <v>1346</v>
      </c>
      <c r="G1104" s="44">
        <v>0.2</v>
      </c>
      <c r="H1104" s="39"/>
      <c r="I1104" s="39" t="s">
        <v>102</v>
      </c>
      <c r="J1104" s="41">
        <v>4000</v>
      </c>
      <c r="K1104" s="42">
        <v>44.7</v>
      </c>
      <c r="L1104" s="43"/>
      <c r="M1104" s="43">
        <f>L1104*K1104</f>
        <v>0</v>
      </c>
      <c r="N1104" s="35">
        <v>4690368045025</v>
      </c>
    </row>
    <row r="1105" spans="1:14" ht="12" customHeight="1" outlineLevel="3" x14ac:dyDescent="0.2">
      <c r="A1105" s="36" t="s">
        <v>1347</v>
      </c>
      <c r="B1105" s="37" t="str">
        <f>HYPERLINK("https://www.sedek.ru/upload/iblock/7c5/57hb32uledjvjd0kjhnatz3yhjeatpvs/ogurets_samkon_13_f1.jpg","фото")</f>
        <v>фото</v>
      </c>
      <c r="C1105" s="38" t="s">
        <v>266</v>
      </c>
      <c r="D1105" s="38"/>
      <c r="E1105" s="39" t="s">
        <v>1337</v>
      </c>
      <c r="F1105" s="39" t="s">
        <v>1348</v>
      </c>
      <c r="G1105" s="44">
        <v>0.2</v>
      </c>
      <c r="H1105" s="39"/>
      <c r="I1105" s="39" t="s">
        <v>102</v>
      </c>
      <c r="J1105" s="41">
        <v>4000</v>
      </c>
      <c r="K1105" s="42">
        <v>44.7</v>
      </c>
      <c r="L1105" s="43"/>
      <c r="M1105" s="43">
        <f>L1105*K1105</f>
        <v>0</v>
      </c>
      <c r="N1105" s="35">
        <v>4690368045032</v>
      </c>
    </row>
    <row r="1106" spans="1:14" ht="12" customHeight="1" outlineLevel="3" x14ac:dyDescent="0.2">
      <c r="A1106" s="36" t="s">
        <v>1349</v>
      </c>
      <c r="B1106" s="37"/>
      <c r="C1106" s="38" t="s">
        <v>266</v>
      </c>
      <c r="D1106" s="38" t="s">
        <v>266</v>
      </c>
      <c r="E1106" s="39" t="s">
        <v>1337</v>
      </c>
      <c r="F1106" s="39" t="s">
        <v>1350</v>
      </c>
      <c r="G1106" s="44">
        <v>0.2</v>
      </c>
      <c r="H1106" s="39"/>
      <c r="I1106" s="39" t="s">
        <v>102</v>
      </c>
      <c r="J1106" s="41">
        <v>4000</v>
      </c>
      <c r="K1106" s="42">
        <v>44.7</v>
      </c>
      <c r="L1106" s="43"/>
      <c r="M1106" s="43">
        <f>L1106*K1106</f>
        <v>0</v>
      </c>
      <c r="N1106" s="35">
        <v>4690368045049</v>
      </c>
    </row>
    <row r="1107" spans="1:14" ht="12" customHeight="1" outlineLevel="3" x14ac:dyDescent="0.2">
      <c r="A1107" s="36" t="s">
        <v>1351</v>
      </c>
      <c r="B1107" s="37"/>
      <c r="C1107" s="38" t="s">
        <v>266</v>
      </c>
      <c r="D1107" s="38"/>
      <c r="E1107" s="39" t="s">
        <v>1337</v>
      </c>
      <c r="F1107" s="39" t="s">
        <v>1352</v>
      </c>
      <c r="G1107" s="44">
        <v>0.2</v>
      </c>
      <c r="H1107" s="39"/>
      <c r="I1107" s="39" t="s">
        <v>102</v>
      </c>
      <c r="J1107" s="41">
        <v>4000</v>
      </c>
      <c r="K1107" s="42">
        <v>44.7</v>
      </c>
      <c r="L1107" s="43"/>
      <c r="M1107" s="43">
        <f>L1107*K1107</f>
        <v>0</v>
      </c>
      <c r="N1107" s="35">
        <v>4690368045056</v>
      </c>
    </row>
    <row r="1108" spans="1:14" ht="12" customHeight="1" outlineLevel="3" x14ac:dyDescent="0.2">
      <c r="A1108" s="36" t="s">
        <v>1353</v>
      </c>
      <c r="B1108" s="37" t="str">
        <f>HYPERLINK("https://www.sedek.ru/upload/iblock/0b7/06vakn0bx3oqv7bkrv2agyxmurnxf0o5/ogurets_samkon_mini_f1_pchyelka.jpg","фото")</f>
        <v>фото</v>
      </c>
      <c r="C1108" s="38" t="s">
        <v>266</v>
      </c>
      <c r="D1108" s="38" t="s">
        <v>266</v>
      </c>
      <c r="E1108" s="39" t="s">
        <v>1337</v>
      </c>
      <c r="F1108" s="39" t="s">
        <v>1354</v>
      </c>
      <c r="G1108" s="44">
        <v>0.2</v>
      </c>
      <c r="H1108" s="39"/>
      <c r="I1108" s="39" t="s">
        <v>102</v>
      </c>
      <c r="J1108" s="41">
        <v>4000</v>
      </c>
      <c r="K1108" s="42">
        <v>44.7</v>
      </c>
      <c r="L1108" s="43"/>
      <c r="M1108" s="43">
        <f>L1108*K1108</f>
        <v>0</v>
      </c>
      <c r="N1108" s="35">
        <v>4690368045063</v>
      </c>
    </row>
    <row r="1109" spans="1:14" ht="24" customHeight="1" outlineLevel="3" x14ac:dyDescent="0.2">
      <c r="A1109" s="45">
        <v>15533</v>
      </c>
      <c r="B1109" s="37" t="str">
        <f>HYPERLINK("http://sedek.ru/upload/iblock/ed2/ogurets_sakharnyy_gigant_f1.jpg","фото")</f>
        <v>фото</v>
      </c>
      <c r="C1109" s="38"/>
      <c r="D1109" s="38"/>
      <c r="E1109" s="39" t="s">
        <v>1151</v>
      </c>
      <c r="F1109" s="39" t="s">
        <v>1355</v>
      </c>
      <c r="G1109" s="44">
        <v>0.2</v>
      </c>
      <c r="H1109" s="39" t="s">
        <v>101</v>
      </c>
      <c r="I1109" s="39" t="s">
        <v>102</v>
      </c>
      <c r="J1109" s="41">
        <v>4000</v>
      </c>
      <c r="K1109" s="42">
        <v>40.299999999999997</v>
      </c>
      <c r="L1109" s="43"/>
      <c r="M1109" s="43">
        <f>L1109*K1109</f>
        <v>0</v>
      </c>
      <c r="N1109" s="35">
        <v>4690368005661</v>
      </c>
    </row>
    <row r="1110" spans="1:14" ht="36" customHeight="1" outlineLevel="3" x14ac:dyDescent="0.2">
      <c r="A1110" s="45">
        <v>14847</v>
      </c>
      <c r="B1110" s="37" t="str">
        <f>HYPERLINK("http://www.sedek.ru/upload/iblock/586/ogurets_sakharnyy_malysh_f1.jpg","фото")</f>
        <v>фото</v>
      </c>
      <c r="C1110" s="38"/>
      <c r="D1110" s="38"/>
      <c r="E1110" s="39"/>
      <c r="F1110" s="39" t="s">
        <v>1356</v>
      </c>
      <c r="G1110" s="44">
        <v>0.2</v>
      </c>
      <c r="H1110" s="39" t="s">
        <v>101</v>
      </c>
      <c r="I1110" s="39" t="s">
        <v>102</v>
      </c>
      <c r="J1110" s="41">
        <v>4000</v>
      </c>
      <c r="K1110" s="42">
        <v>46.6</v>
      </c>
      <c r="L1110" s="43"/>
      <c r="M1110" s="43">
        <f>L1110*K1110</f>
        <v>0</v>
      </c>
      <c r="N1110" s="35">
        <v>4607149404681</v>
      </c>
    </row>
    <row r="1111" spans="1:14" ht="36" customHeight="1" outlineLevel="3" x14ac:dyDescent="0.2">
      <c r="A1111" s="45">
        <v>16123</v>
      </c>
      <c r="B1111" s="37" t="str">
        <f>HYPERLINK("http://www.sedek.ru/upload/iblock/dd7/ogurets_sladkaya_zhenshchina_f1.jpg","фото")</f>
        <v>фото</v>
      </c>
      <c r="C1111" s="38"/>
      <c r="D1111" s="38"/>
      <c r="E1111" s="39"/>
      <c r="F1111" s="39" t="s">
        <v>1357</v>
      </c>
      <c r="G1111" s="44">
        <v>0.3</v>
      </c>
      <c r="H1111" s="39" t="s">
        <v>101</v>
      </c>
      <c r="I1111" s="39" t="s">
        <v>102</v>
      </c>
      <c r="J1111" s="41">
        <v>3000</v>
      </c>
      <c r="K1111" s="42">
        <v>22.9</v>
      </c>
      <c r="L1111" s="43"/>
      <c r="M1111" s="43">
        <f>L1111*K1111</f>
        <v>0</v>
      </c>
      <c r="N1111" s="35">
        <v>4607149404766</v>
      </c>
    </row>
    <row r="1112" spans="1:14" ht="36" customHeight="1" outlineLevel="3" x14ac:dyDescent="0.2">
      <c r="A1112" s="45">
        <v>14770</v>
      </c>
      <c r="B1112" s="37" t="str">
        <f>HYPERLINK("http://sedek.ru/upload/iblock/c0e/ogurets_sladkiy_korol_f1.jpg","фото")</f>
        <v>фото</v>
      </c>
      <c r="C1112" s="38"/>
      <c r="D1112" s="38"/>
      <c r="E1112" s="39"/>
      <c r="F1112" s="39" t="s">
        <v>1358</v>
      </c>
      <c r="G1112" s="44">
        <v>0.5</v>
      </c>
      <c r="H1112" s="39" t="s">
        <v>101</v>
      </c>
      <c r="I1112" s="39" t="s">
        <v>102</v>
      </c>
      <c r="J1112" s="41">
        <v>3000</v>
      </c>
      <c r="K1112" s="42">
        <v>28.9</v>
      </c>
      <c r="L1112" s="43"/>
      <c r="M1112" s="43">
        <f>L1112*K1112</f>
        <v>0</v>
      </c>
      <c r="N1112" s="35">
        <v>4607149404698</v>
      </c>
    </row>
    <row r="1113" spans="1:14" ht="36" customHeight="1" outlineLevel="3" x14ac:dyDescent="0.2">
      <c r="A1113" s="36" t="s">
        <v>1359</v>
      </c>
      <c r="B1113" s="37" t="str">
        <f>HYPERLINK("http://sedek.ru/upload/iblock/029/ogurets_sladkiy_krupnopupyrchatyy_f1.jpg","фото")</f>
        <v>фото</v>
      </c>
      <c r="C1113" s="38"/>
      <c r="D1113" s="38" t="s">
        <v>266</v>
      </c>
      <c r="E1113" s="39"/>
      <c r="F1113" s="39" t="s">
        <v>1360</v>
      </c>
      <c r="G1113" s="44">
        <v>0.2</v>
      </c>
      <c r="H1113" s="39" t="s">
        <v>101</v>
      </c>
      <c r="I1113" s="39" t="s">
        <v>102</v>
      </c>
      <c r="J1113" s="41">
        <v>4000</v>
      </c>
      <c r="K1113" s="42">
        <v>22</v>
      </c>
      <c r="L1113" s="43"/>
      <c r="M1113" s="43">
        <f>L1113*K1113</f>
        <v>0</v>
      </c>
      <c r="N1113" s="35">
        <v>4690368025294</v>
      </c>
    </row>
    <row r="1114" spans="1:14" ht="36" customHeight="1" outlineLevel="3" x14ac:dyDescent="0.2">
      <c r="A1114" s="45">
        <v>13825</v>
      </c>
      <c r="B1114" s="37" t="str">
        <f>HYPERLINK("http://www.sedek.ru/upload/iblock/750/ogurets_solovey_f1.jpg","фото")</f>
        <v>фото</v>
      </c>
      <c r="C1114" s="38"/>
      <c r="D1114" s="38"/>
      <c r="E1114" s="39"/>
      <c r="F1114" s="39" t="s">
        <v>1361</v>
      </c>
      <c r="G1114" s="44">
        <v>0.3</v>
      </c>
      <c r="H1114" s="39" t="s">
        <v>101</v>
      </c>
      <c r="I1114" s="39" t="s">
        <v>102</v>
      </c>
      <c r="J1114" s="41">
        <v>3000</v>
      </c>
      <c r="K1114" s="42">
        <v>20</v>
      </c>
      <c r="L1114" s="43"/>
      <c r="M1114" s="43">
        <f>L1114*K1114</f>
        <v>0</v>
      </c>
      <c r="N1114" s="35">
        <v>4607015188066</v>
      </c>
    </row>
    <row r="1115" spans="1:14" ht="36" customHeight="1" outlineLevel="3" x14ac:dyDescent="0.2">
      <c r="A1115" s="45">
        <v>13953</v>
      </c>
      <c r="B1115" s="37" t="str">
        <f>HYPERLINK("http://www.sedek.ru/upload/iblock/abf/ogurets_spartak_f1.jpg","фото")</f>
        <v>фото</v>
      </c>
      <c r="C1115" s="38"/>
      <c r="D1115" s="38"/>
      <c r="E1115" s="39"/>
      <c r="F1115" s="39" t="s">
        <v>1362</v>
      </c>
      <c r="G1115" s="44">
        <v>0.2</v>
      </c>
      <c r="H1115" s="39" t="s">
        <v>101</v>
      </c>
      <c r="I1115" s="39" t="s">
        <v>102</v>
      </c>
      <c r="J1115" s="41">
        <v>4000</v>
      </c>
      <c r="K1115" s="42">
        <v>48.6</v>
      </c>
      <c r="L1115" s="43"/>
      <c r="M1115" s="43">
        <f>L1115*K1115</f>
        <v>0</v>
      </c>
      <c r="N1115" s="35">
        <v>4690368012898</v>
      </c>
    </row>
    <row r="1116" spans="1:14" ht="36" customHeight="1" outlineLevel="3" x14ac:dyDescent="0.2">
      <c r="A1116" s="45">
        <v>13953</v>
      </c>
      <c r="B1116" s="37" t="str">
        <f>HYPERLINK("http://www.sedek.ru/upload/iblock/abf/ogurets_spartak_f1.jpg","фото")</f>
        <v>фото</v>
      </c>
      <c r="C1116" s="38"/>
      <c r="D1116" s="38"/>
      <c r="E1116" s="39"/>
      <c r="F1116" s="39" t="s">
        <v>1363</v>
      </c>
      <c r="G1116" s="44">
        <v>0.2</v>
      </c>
      <c r="H1116" s="39" t="s">
        <v>101</v>
      </c>
      <c r="I1116" s="39" t="s">
        <v>287</v>
      </c>
      <c r="J1116" s="41">
        <v>4000</v>
      </c>
      <c r="K1116" s="42">
        <v>9.9</v>
      </c>
      <c r="L1116" s="43"/>
      <c r="M1116" s="43">
        <f>L1116*K1116</f>
        <v>0</v>
      </c>
      <c r="N1116" s="35">
        <v>4690368043977</v>
      </c>
    </row>
    <row r="1117" spans="1:14" ht="24" customHeight="1" outlineLevel="3" x14ac:dyDescent="0.2">
      <c r="A1117" s="45">
        <v>13768</v>
      </c>
      <c r="B1117" s="37" t="str">
        <f>HYPERLINK("http://sedek.ru/upload/iblock/72a/ogurets_sudarynya.jpg","фото")</f>
        <v>фото</v>
      </c>
      <c r="C1117" s="38"/>
      <c r="D1117" s="38"/>
      <c r="E1117" s="39" t="s">
        <v>1188</v>
      </c>
      <c r="F1117" s="39" t="s">
        <v>1364</v>
      </c>
      <c r="G1117" s="44">
        <v>0.3</v>
      </c>
      <c r="H1117" s="39" t="s">
        <v>101</v>
      </c>
      <c r="I1117" s="39" t="s">
        <v>102</v>
      </c>
      <c r="J1117" s="41">
        <v>3000</v>
      </c>
      <c r="K1117" s="42">
        <v>18.100000000000001</v>
      </c>
      <c r="L1117" s="43"/>
      <c r="M1117" s="43">
        <f>L1117*K1117</f>
        <v>0</v>
      </c>
      <c r="N1117" s="35">
        <v>4690368008884</v>
      </c>
    </row>
    <row r="1118" spans="1:14" ht="36" customHeight="1" outlineLevel="3" x14ac:dyDescent="0.2">
      <c r="A1118" s="45">
        <v>15948</v>
      </c>
      <c r="B1118" s="37" t="str">
        <f>HYPERLINK("http://sedek.ru/upload/iblock/6f9/ogurets_sudar_f1.jpg","фото")</f>
        <v>фото</v>
      </c>
      <c r="C1118" s="38"/>
      <c r="D1118" s="38"/>
      <c r="E1118" s="39" t="s">
        <v>1188</v>
      </c>
      <c r="F1118" s="39" t="s">
        <v>1365</v>
      </c>
      <c r="G1118" s="44">
        <v>0.5</v>
      </c>
      <c r="H1118" s="39" t="s">
        <v>101</v>
      </c>
      <c r="I1118" s="39" t="s">
        <v>102</v>
      </c>
      <c r="J1118" s="41">
        <v>3000</v>
      </c>
      <c r="K1118" s="42">
        <v>20</v>
      </c>
      <c r="L1118" s="43"/>
      <c r="M1118" s="43">
        <f>L1118*K1118</f>
        <v>0</v>
      </c>
      <c r="N1118" s="35">
        <v>4607015188080</v>
      </c>
    </row>
    <row r="1119" spans="1:14" ht="36" customHeight="1" outlineLevel="3" x14ac:dyDescent="0.2">
      <c r="A1119" s="45">
        <v>14666</v>
      </c>
      <c r="B1119" s="37" t="str">
        <f>HYPERLINK("http://sedek.ru/upload/iblock/f87/ogurets_syn_polka_f1.jpg","фото")</f>
        <v>фото</v>
      </c>
      <c r="C1119" s="38"/>
      <c r="D1119" s="38"/>
      <c r="E1119" s="39" t="s">
        <v>1180</v>
      </c>
      <c r="F1119" s="39" t="s">
        <v>1366</v>
      </c>
      <c r="G1119" s="44">
        <v>0.3</v>
      </c>
      <c r="H1119" s="39" t="s">
        <v>101</v>
      </c>
      <c r="I1119" s="39" t="s">
        <v>102</v>
      </c>
      <c r="J1119" s="41">
        <v>3000</v>
      </c>
      <c r="K1119" s="42">
        <v>36.5</v>
      </c>
      <c r="L1119" s="43"/>
      <c r="M1119" s="43">
        <f>L1119*K1119</f>
        <v>0</v>
      </c>
      <c r="N1119" s="35">
        <v>4607015185133</v>
      </c>
    </row>
    <row r="1120" spans="1:14" ht="36" customHeight="1" outlineLevel="3" x14ac:dyDescent="0.2">
      <c r="A1120" s="45">
        <v>14666</v>
      </c>
      <c r="B1120" s="37" t="str">
        <f>HYPERLINK("http://sedek.ru/upload/iblock/f87/ogurets_syn_polka_f1.jpg","фото")</f>
        <v>фото</v>
      </c>
      <c r="C1120" s="38"/>
      <c r="D1120" s="38"/>
      <c r="E1120" s="39" t="s">
        <v>1180</v>
      </c>
      <c r="F1120" s="39" t="s">
        <v>1367</v>
      </c>
      <c r="G1120" s="44">
        <v>0.3</v>
      </c>
      <c r="H1120" s="39" t="s">
        <v>101</v>
      </c>
      <c r="I1120" s="39" t="s">
        <v>287</v>
      </c>
      <c r="J1120" s="41">
        <v>3000</v>
      </c>
      <c r="K1120" s="42">
        <v>19.399999999999999</v>
      </c>
      <c r="L1120" s="43"/>
      <c r="M1120" s="43">
        <f>L1120*K1120</f>
        <v>0</v>
      </c>
      <c r="N1120" s="35">
        <v>4607149408405</v>
      </c>
    </row>
    <row r="1121" spans="1:14" ht="24" customHeight="1" outlineLevel="3" x14ac:dyDescent="0.2">
      <c r="A1121" s="45">
        <v>15084</v>
      </c>
      <c r="B1121" s="37" t="str">
        <f>HYPERLINK("http://www.sedek.ru/upload/iblock/71e/ogurets_topolek_f1.JPG","фото")</f>
        <v>фото</v>
      </c>
      <c r="C1121" s="38"/>
      <c r="D1121" s="38"/>
      <c r="E1121" s="39"/>
      <c r="F1121" s="39" t="s">
        <v>1368</v>
      </c>
      <c r="G1121" s="44">
        <v>0.3</v>
      </c>
      <c r="H1121" s="39" t="s">
        <v>101</v>
      </c>
      <c r="I1121" s="39" t="s">
        <v>102</v>
      </c>
      <c r="J1121" s="41">
        <v>3000</v>
      </c>
      <c r="K1121" s="42">
        <v>16.899999999999999</v>
      </c>
      <c r="L1121" s="43"/>
      <c r="M1121" s="43">
        <f>L1121*K1121</f>
        <v>0</v>
      </c>
      <c r="N1121" s="35">
        <v>4607015188110</v>
      </c>
    </row>
    <row r="1122" spans="1:14" ht="24" customHeight="1" outlineLevel="3" x14ac:dyDescent="0.2">
      <c r="A1122" s="45">
        <v>15084</v>
      </c>
      <c r="B1122" s="37" t="str">
        <f>HYPERLINK("http://www.sedek.ru/upload/iblock/71e/ogurets_topolek_f1.JPG","фото")</f>
        <v>фото</v>
      </c>
      <c r="C1122" s="38"/>
      <c r="D1122" s="38"/>
      <c r="E1122" s="39"/>
      <c r="F1122" s="39" t="s">
        <v>1369</v>
      </c>
      <c r="G1122" s="44">
        <v>0.3</v>
      </c>
      <c r="H1122" s="39" t="s">
        <v>101</v>
      </c>
      <c r="I1122" s="39" t="s">
        <v>287</v>
      </c>
      <c r="J1122" s="41">
        <v>3000</v>
      </c>
      <c r="K1122" s="42">
        <v>8.5</v>
      </c>
      <c r="L1122" s="43"/>
      <c r="M1122" s="43">
        <f>L1122*K1122</f>
        <v>0</v>
      </c>
      <c r="N1122" s="35">
        <v>4690368004602</v>
      </c>
    </row>
    <row r="1123" spans="1:14" ht="12" customHeight="1" outlineLevel="3" x14ac:dyDescent="0.2">
      <c r="A1123" s="36" t="s">
        <v>1370</v>
      </c>
      <c r="B1123" s="37" t="str">
        <f>HYPERLINK("https://www.sedek.ru/upload/iblock/395/2z1ynotfnxghvcu59sf2mb3o9essy3co/ogurets_f1_troechka_.jpg","фото")</f>
        <v>фото</v>
      </c>
      <c r="C1123" s="38" t="s">
        <v>266</v>
      </c>
      <c r="D1123" s="38" t="s">
        <v>266</v>
      </c>
      <c r="E1123" s="39" t="s">
        <v>1371</v>
      </c>
      <c r="F1123" s="39" t="s">
        <v>1372</v>
      </c>
      <c r="G1123" s="44">
        <v>0.2</v>
      </c>
      <c r="H1123" s="39"/>
      <c r="I1123" s="39" t="s">
        <v>102</v>
      </c>
      <c r="J1123" s="41">
        <v>4000</v>
      </c>
      <c r="K1123" s="42">
        <v>44.7</v>
      </c>
      <c r="L1123" s="43"/>
      <c r="M1123" s="43">
        <f>L1123*K1123</f>
        <v>0</v>
      </c>
      <c r="N1123" s="35">
        <v>4690368045148</v>
      </c>
    </row>
    <row r="1124" spans="1:14" ht="24" customHeight="1" outlineLevel="3" x14ac:dyDescent="0.2">
      <c r="A1124" s="45">
        <v>13869</v>
      </c>
      <c r="B1124" s="37" t="str">
        <f>HYPERLINK("http://www.sedek.ru/upload/iblock/6a5/ogurets_feniks.jpg","фото")</f>
        <v>фото</v>
      </c>
      <c r="C1124" s="38"/>
      <c r="D1124" s="38"/>
      <c r="E1124" s="39"/>
      <c r="F1124" s="39" t="s">
        <v>1373</v>
      </c>
      <c r="G1124" s="44">
        <v>0.5</v>
      </c>
      <c r="H1124" s="39" t="s">
        <v>101</v>
      </c>
      <c r="I1124" s="39" t="s">
        <v>102</v>
      </c>
      <c r="J1124" s="41">
        <v>3000</v>
      </c>
      <c r="K1124" s="42">
        <v>19.3</v>
      </c>
      <c r="L1124" s="43"/>
      <c r="M1124" s="43">
        <f>L1124*K1124</f>
        <v>0</v>
      </c>
      <c r="N1124" s="35">
        <v>4607015188158</v>
      </c>
    </row>
    <row r="1125" spans="1:14" ht="24" customHeight="1" outlineLevel="3" x14ac:dyDescent="0.2">
      <c r="A1125" s="45">
        <v>13869</v>
      </c>
      <c r="B1125" s="37" t="str">
        <f>HYPERLINK("http://www.sedek.ru/upload/iblock/6a5/ogurets_feniks.jpg","фото")</f>
        <v>фото</v>
      </c>
      <c r="C1125" s="38"/>
      <c r="D1125" s="38"/>
      <c r="E1125" s="39"/>
      <c r="F1125" s="39" t="s">
        <v>1374</v>
      </c>
      <c r="G1125" s="44">
        <v>0.5</v>
      </c>
      <c r="H1125" s="39" t="s">
        <v>101</v>
      </c>
      <c r="I1125" s="39" t="s">
        <v>287</v>
      </c>
      <c r="J1125" s="41">
        <v>3000</v>
      </c>
      <c r="K1125" s="42">
        <v>7.4</v>
      </c>
      <c r="L1125" s="43"/>
      <c r="M1125" s="43">
        <f>L1125*K1125</f>
        <v>0</v>
      </c>
      <c r="N1125" s="35">
        <v>4690368004657</v>
      </c>
    </row>
    <row r="1126" spans="1:14" ht="36" customHeight="1" outlineLevel="3" x14ac:dyDescent="0.2">
      <c r="A1126" s="45">
        <v>16957</v>
      </c>
      <c r="B1126" s="37" t="str">
        <f>HYPERLINK("http://sedek.ru/upload/iblock/6a5/ogurets_feniks.jpg","фото")</f>
        <v>фото</v>
      </c>
      <c r="C1126" s="38"/>
      <c r="D1126" s="38"/>
      <c r="E1126" s="39"/>
      <c r="F1126" s="39" t="s">
        <v>1375</v>
      </c>
      <c r="G1126" s="44">
        <v>1.5</v>
      </c>
      <c r="H1126" s="39" t="s">
        <v>101</v>
      </c>
      <c r="I1126" s="39" t="s">
        <v>102</v>
      </c>
      <c r="J1126" s="41">
        <v>2500</v>
      </c>
      <c r="K1126" s="42">
        <v>35.6</v>
      </c>
      <c r="L1126" s="43"/>
      <c r="M1126" s="43">
        <f>L1126*K1126</f>
        <v>0</v>
      </c>
      <c r="N1126" s="35">
        <v>4690368023832</v>
      </c>
    </row>
    <row r="1127" spans="1:14" ht="24" customHeight="1" outlineLevel="3" x14ac:dyDescent="0.2">
      <c r="A1127" s="36" t="s">
        <v>1376</v>
      </c>
      <c r="B1127" s="37" t="str">
        <f>HYPERLINK("http://www.sedek.ru/upload/iblock/e8c/anazip3erqpcg7u5ue64p1r3lha7lzep/ogurets_feniks_plyus.png","фото")</f>
        <v>фото</v>
      </c>
      <c r="C1127" s="38"/>
      <c r="D1127" s="38"/>
      <c r="E1127" s="39"/>
      <c r="F1127" s="39" t="s">
        <v>1377</v>
      </c>
      <c r="G1127" s="44">
        <v>0.3</v>
      </c>
      <c r="H1127" s="39" t="s">
        <v>101</v>
      </c>
      <c r="I1127" s="39" t="s">
        <v>102</v>
      </c>
      <c r="J1127" s="41">
        <v>3000</v>
      </c>
      <c r="K1127" s="42">
        <v>18.8</v>
      </c>
      <c r="L1127" s="43"/>
      <c r="M1127" s="43">
        <f>L1127*K1127</f>
        <v>0</v>
      </c>
      <c r="N1127" s="35">
        <v>4690368035545</v>
      </c>
    </row>
    <row r="1128" spans="1:14" ht="36" customHeight="1" outlineLevel="3" x14ac:dyDescent="0.2">
      <c r="A1128" s="45">
        <v>13940</v>
      </c>
      <c r="B1128" s="37" t="str">
        <f>HYPERLINK("http://www.sedek.ru/upload/iblock/b71/ogurets_mini_kornishon_filippok_f1.jpg","фото")</f>
        <v>фото</v>
      </c>
      <c r="C1128" s="38"/>
      <c r="D1128" s="38"/>
      <c r="E1128" s="39" t="s">
        <v>1180</v>
      </c>
      <c r="F1128" s="39" t="s">
        <v>1378</v>
      </c>
      <c r="G1128" s="44">
        <v>0.3</v>
      </c>
      <c r="H1128" s="39" t="s">
        <v>101</v>
      </c>
      <c r="I1128" s="39" t="s">
        <v>102</v>
      </c>
      <c r="J1128" s="41">
        <v>3000</v>
      </c>
      <c r="K1128" s="42">
        <v>34.700000000000003</v>
      </c>
      <c r="L1128" s="43"/>
      <c r="M1128" s="43">
        <f>L1128*K1128</f>
        <v>0</v>
      </c>
      <c r="N1128" s="35">
        <v>4607015185140</v>
      </c>
    </row>
    <row r="1129" spans="1:14" ht="36" customHeight="1" outlineLevel="3" x14ac:dyDescent="0.2">
      <c r="A1129" s="45">
        <v>13940</v>
      </c>
      <c r="B1129" s="37" t="str">
        <f>HYPERLINK("http://www.sedek.ru/upload/iblock/b71/ogurets_mini_kornishon_filippok_f1.jpg","фото")</f>
        <v>фото</v>
      </c>
      <c r="C1129" s="38"/>
      <c r="D1129" s="38"/>
      <c r="E1129" s="39" t="s">
        <v>1180</v>
      </c>
      <c r="F1129" s="39" t="s">
        <v>1379</v>
      </c>
      <c r="G1129" s="44">
        <v>0.3</v>
      </c>
      <c r="H1129" s="39" t="s">
        <v>101</v>
      </c>
      <c r="I1129" s="39" t="s">
        <v>287</v>
      </c>
      <c r="J1129" s="41">
        <v>3000</v>
      </c>
      <c r="K1129" s="42">
        <v>19.399999999999999</v>
      </c>
      <c r="L1129" s="43"/>
      <c r="M1129" s="43">
        <f>L1129*K1129</f>
        <v>0</v>
      </c>
      <c r="N1129" s="35">
        <v>4607149408412</v>
      </c>
    </row>
    <row r="1130" spans="1:14" ht="36" customHeight="1" outlineLevel="3" x14ac:dyDescent="0.2">
      <c r="A1130" s="45">
        <v>13565</v>
      </c>
      <c r="B1130" s="37" t="str">
        <f>HYPERLINK("http://sedek.ru/upload/iblock/46c/ogurets_fruktovyy_f1.jpg","фото")</f>
        <v>фото</v>
      </c>
      <c r="C1130" s="38"/>
      <c r="D1130" s="38"/>
      <c r="E1130" s="39"/>
      <c r="F1130" s="39" t="s">
        <v>1380</v>
      </c>
      <c r="G1130" s="44">
        <v>0.2</v>
      </c>
      <c r="H1130" s="39" t="s">
        <v>101</v>
      </c>
      <c r="I1130" s="39" t="s">
        <v>102</v>
      </c>
      <c r="J1130" s="41">
        <v>4000</v>
      </c>
      <c r="K1130" s="42">
        <v>28.8</v>
      </c>
      <c r="L1130" s="43"/>
      <c r="M1130" s="43">
        <f>L1130*K1130</f>
        <v>0</v>
      </c>
      <c r="N1130" s="35">
        <v>4607116269961</v>
      </c>
    </row>
    <row r="1131" spans="1:14" ht="36" customHeight="1" outlineLevel="3" x14ac:dyDescent="0.2">
      <c r="A1131" s="45">
        <v>14348</v>
      </c>
      <c r="B1131" s="37" t="str">
        <f>HYPERLINK("http://sedek.ru/upload/iblock/443/ogurets_khozyayushka_f1.jpg","фото")</f>
        <v>фото</v>
      </c>
      <c r="C1131" s="38"/>
      <c r="D1131" s="38"/>
      <c r="E1131" s="39"/>
      <c r="F1131" s="39" t="s">
        <v>1381</v>
      </c>
      <c r="G1131" s="44">
        <v>0.2</v>
      </c>
      <c r="H1131" s="39" t="s">
        <v>101</v>
      </c>
      <c r="I1131" s="39" t="s">
        <v>102</v>
      </c>
      <c r="J1131" s="41">
        <v>4000</v>
      </c>
      <c r="K1131" s="42">
        <v>56.7</v>
      </c>
      <c r="L1131" s="43"/>
      <c r="M1131" s="43">
        <f>L1131*K1131</f>
        <v>0</v>
      </c>
      <c r="N1131" s="35">
        <v>4690368009508</v>
      </c>
    </row>
    <row r="1132" spans="1:14" ht="36" customHeight="1" outlineLevel="3" x14ac:dyDescent="0.2">
      <c r="A1132" s="45">
        <v>13796</v>
      </c>
      <c r="B1132" s="37" t="str">
        <f>HYPERLINK("http://sedek.ru/upload/iblock/1b0/ogurets_khrumka_f1.jpg","фото")</f>
        <v>фото</v>
      </c>
      <c r="C1132" s="38"/>
      <c r="D1132" s="38"/>
      <c r="E1132" s="39"/>
      <c r="F1132" s="39" t="s">
        <v>1382</v>
      </c>
      <c r="G1132" s="44">
        <v>0.3</v>
      </c>
      <c r="H1132" s="39" t="s">
        <v>101</v>
      </c>
      <c r="I1132" s="39" t="s">
        <v>102</v>
      </c>
      <c r="J1132" s="41">
        <v>3000</v>
      </c>
      <c r="K1132" s="42">
        <v>22.9</v>
      </c>
      <c r="L1132" s="43"/>
      <c r="M1132" s="43">
        <f>L1132*K1132</f>
        <v>0</v>
      </c>
      <c r="N1132" s="35">
        <v>4607149404674</v>
      </c>
    </row>
    <row r="1133" spans="1:14" ht="36" customHeight="1" outlineLevel="3" x14ac:dyDescent="0.2">
      <c r="A1133" s="45">
        <v>13796</v>
      </c>
      <c r="B1133" s="37" t="str">
        <f>HYPERLINK("http://sedek.ru/upload/iblock/1b0/ogurets_khrumka_f1.jpg","фото")</f>
        <v>фото</v>
      </c>
      <c r="C1133" s="38"/>
      <c r="D1133" s="38"/>
      <c r="E1133" s="39"/>
      <c r="F1133" s="39" t="s">
        <v>1383</v>
      </c>
      <c r="G1133" s="44">
        <v>0.3</v>
      </c>
      <c r="H1133" s="39" t="s">
        <v>101</v>
      </c>
      <c r="I1133" s="39" t="s">
        <v>287</v>
      </c>
      <c r="J1133" s="41">
        <v>3000</v>
      </c>
      <c r="K1133" s="42">
        <v>12.4</v>
      </c>
      <c r="L1133" s="43"/>
      <c r="M1133" s="43">
        <f>L1133*K1133</f>
        <v>0</v>
      </c>
      <c r="N1133" s="35">
        <v>4690368001021</v>
      </c>
    </row>
    <row r="1134" spans="1:14" ht="36" customHeight="1" outlineLevel="3" x14ac:dyDescent="0.2">
      <c r="A1134" s="45">
        <v>14350</v>
      </c>
      <c r="B1134" s="37" t="str">
        <f>HYPERLINK("http://sedek.ru/upload/iblock/beb/ogurets_khrustyashchiy_alligator_f1.jpg","фото")</f>
        <v>фото</v>
      </c>
      <c r="C1134" s="38"/>
      <c r="D1134" s="38"/>
      <c r="E1134" s="39" t="s">
        <v>1151</v>
      </c>
      <c r="F1134" s="39" t="s">
        <v>1384</v>
      </c>
      <c r="G1134" s="44">
        <v>0.2</v>
      </c>
      <c r="H1134" s="39" t="s">
        <v>101</v>
      </c>
      <c r="I1134" s="39" t="s">
        <v>102</v>
      </c>
      <c r="J1134" s="41">
        <v>4000</v>
      </c>
      <c r="K1134" s="42">
        <v>53.3</v>
      </c>
      <c r="L1134" s="43"/>
      <c r="M1134" s="43">
        <f>L1134*K1134</f>
        <v>0</v>
      </c>
      <c r="N1134" s="35">
        <v>4690368012904</v>
      </c>
    </row>
    <row r="1135" spans="1:14" ht="36" customHeight="1" outlineLevel="3" x14ac:dyDescent="0.2">
      <c r="A1135" s="45">
        <v>14571</v>
      </c>
      <c r="B1135" s="37" t="str">
        <f>HYPERLINK("http://www.sedek.ru/upload/iblock/465/ogurets_kornishon_chempion_sedek_f1.jpg","фото")</f>
        <v>фото</v>
      </c>
      <c r="C1135" s="38"/>
      <c r="D1135" s="38"/>
      <c r="E1135" s="39"/>
      <c r="F1135" s="39" t="s">
        <v>1385</v>
      </c>
      <c r="G1135" s="44">
        <v>0.2</v>
      </c>
      <c r="H1135" s="39" t="s">
        <v>101</v>
      </c>
      <c r="I1135" s="39" t="s">
        <v>102</v>
      </c>
      <c r="J1135" s="41">
        <v>4000</v>
      </c>
      <c r="K1135" s="42">
        <v>51.7</v>
      </c>
      <c r="L1135" s="43"/>
      <c r="M1135" s="43">
        <f>L1135*K1135</f>
        <v>0</v>
      </c>
      <c r="N1135" s="35">
        <v>4607015188189</v>
      </c>
    </row>
    <row r="1136" spans="1:14" ht="24" customHeight="1" outlineLevel="3" x14ac:dyDescent="0.2">
      <c r="A1136" s="45">
        <v>15371</v>
      </c>
      <c r="B1136" s="37" t="str">
        <f>HYPERLINK("http://sedek.ru/upload/iblock/c3c/ogurets_chudo_grunta_f1.jpg","фото")</f>
        <v>фото</v>
      </c>
      <c r="C1136" s="38"/>
      <c r="D1136" s="38"/>
      <c r="E1136" s="39"/>
      <c r="F1136" s="39" t="s">
        <v>1386</v>
      </c>
      <c r="G1136" s="44">
        <v>0.3</v>
      </c>
      <c r="H1136" s="39" t="s">
        <v>101</v>
      </c>
      <c r="I1136" s="39" t="s">
        <v>102</v>
      </c>
      <c r="J1136" s="41">
        <v>3000</v>
      </c>
      <c r="K1136" s="42">
        <v>20.100000000000001</v>
      </c>
      <c r="L1136" s="43"/>
      <c r="M1136" s="43">
        <f>L1136*K1136</f>
        <v>0</v>
      </c>
      <c r="N1136" s="35">
        <v>4607149404797</v>
      </c>
    </row>
    <row r="1137" spans="1:14" ht="24" customHeight="1" outlineLevel="3" x14ac:dyDescent="0.2">
      <c r="A1137" s="45">
        <v>15371</v>
      </c>
      <c r="B1137" s="37" t="str">
        <f>HYPERLINK("http://sedek.ru/upload/iblock/c3c/ogurets_chudo_grunta_f1.jpg","фото")</f>
        <v>фото</v>
      </c>
      <c r="C1137" s="38"/>
      <c r="D1137" s="38"/>
      <c r="E1137" s="39"/>
      <c r="F1137" s="39" t="s">
        <v>1387</v>
      </c>
      <c r="G1137" s="44">
        <v>0.3</v>
      </c>
      <c r="H1137" s="39" t="s">
        <v>101</v>
      </c>
      <c r="I1137" s="39" t="s">
        <v>287</v>
      </c>
      <c r="J1137" s="41">
        <v>3000</v>
      </c>
      <c r="K1137" s="42">
        <v>9.4</v>
      </c>
      <c r="L1137" s="43"/>
      <c r="M1137" s="43">
        <f>L1137*K1137</f>
        <v>0</v>
      </c>
      <c r="N1137" s="35">
        <v>4607149407316</v>
      </c>
    </row>
    <row r="1138" spans="1:14" ht="36" customHeight="1" outlineLevel="3" x14ac:dyDescent="0.2">
      <c r="A1138" s="45">
        <v>16487</v>
      </c>
      <c r="B1138" s="37" t="str">
        <f>HYPERLINK("http://sedek.ru/upload/iblock/150/ogurets_chudo_rynka_f1.jpg","фото")</f>
        <v>фото</v>
      </c>
      <c r="C1138" s="38"/>
      <c r="D1138" s="38"/>
      <c r="E1138" s="39"/>
      <c r="F1138" s="39" t="s">
        <v>1388</v>
      </c>
      <c r="G1138" s="44">
        <v>0.2</v>
      </c>
      <c r="H1138" s="39" t="s">
        <v>101</v>
      </c>
      <c r="I1138" s="39" t="s">
        <v>102</v>
      </c>
      <c r="J1138" s="41">
        <v>4000</v>
      </c>
      <c r="K1138" s="42">
        <v>42.3</v>
      </c>
      <c r="L1138" s="43"/>
      <c r="M1138" s="43">
        <f>L1138*K1138</f>
        <v>0</v>
      </c>
      <c r="N1138" s="35">
        <v>4690368000338</v>
      </c>
    </row>
    <row r="1139" spans="1:14" ht="36" customHeight="1" outlineLevel="3" x14ac:dyDescent="0.2">
      <c r="A1139" s="36" t="s">
        <v>1389</v>
      </c>
      <c r="B1139" s="37" t="str">
        <f>HYPERLINK("http://sedek.ru/upload/iblock/df5/ogurets_shopen_f1.jpg","фото")</f>
        <v>фото</v>
      </c>
      <c r="C1139" s="38"/>
      <c r="D1139" s="38" t="s">
        <v>266</v>
      </c>
      <c r="E1139" s="39" t="s">
        <v>1175</v>
      </c>
      <c r="F1139" s="39" t="s">
        <v>1390</v>
      </c>
      <c r="G1139" s="40">
        <v>8</v>
      </c>
      <c r="H1139" s="39" t="s">
        <v>307</v>
      </c>
      <c r="I1139" s="39" t="s">
        <v>102</v>
      </c>
      <c r="J1139" s="41">
        <v>4000</v>
      </c>
      <c r="K1139" s="42">
        <v>46.6</v>
      </c>
      <c r="L1139" s="43"/>
      <c r="M1139" s="43">
        <f>L1139*K1139</f>
        <v>0</v>
      </c>
      <c r="N1139" s="35">
        <v>4690368026383</v>
      </c>
    </row>
    <row r="1140" spans="1:14" ht="36" customHeight="1" outlineLevel="3" x14ac:dyDescent="0.2">
      <c r="A1140" s="36" t="s">
        <v>1391</v>
      </c>
      <c r="B1140" s="37" t="str">
        <f>HYPERLINK("http://www.sedek.ru/upload/iblock/84c/ogurets_shtabs_kapitan_f1.jpg","фото")</f>
        <v>фото</v>
      </c>
      <c r="C1140" s="38"/>
      <c r="D1140" s="38"/>
      <c r="E1140" s="39"/>
      <c r="F1140" s="39" t="s">
        <v>1392</v>
      </c>
      <c r="G1140" s="44">
        <v>0.2</v>
      </c>
      <c r="H1140" s="39" t="s">
        <v>101</v>
      </c>
      <c r="I1140" s="39" t="s">
        <v>102</v>
      </c>
      <c r="J1140" s="41">
        <v>4000</v>
      </c>
      <c r="K1140" s="42">
        <v>33</v>
      </c>
      <c r="L1140" s="43"/>
      <c r="M1140" s="43">
        <f>L1140*K1140</f>
        <v>0</v>
      </c>
      <c r="N1140" s="35">
        <v>4690368031431</v>
      </c>
    </row>
    <row r="1141" spans="1:14" ht="36" customHeight="1" outlineLevel="3" x14ac:dyDescent="0.2">
      <c r="A1141" s="36" t="s">
        <v>1393</v>
      </c>
      <c r="B1141" s="37" t="str">
        <f>HYPERLINK("http://www.sedek.ru/upload/iblock/352/ogurets_shtraus_f1.jpg","Фото")</f>
        <v>Фото</v>
      </c>
      <c r="C1141" s="38"/>
      <c r="D1141" s="38"/>
      <c r="E1141" s="39" t="s">
        <v>1175</v>
      </c>
      <c r="F1141" s="39" t="s">
        <v>1394</v>
      </c>
      <c r="G1141" s="40">
        <v>8</v>
      </c>
      <c r="H1141" s="39" t="s">
        <v>307</v>
      </c>
      <c r="I1141" s="39" t="s">
        <v>102</v>
      </c>
      <c r="J1141" s="41">
        <v>4000</v>
      </c>
      <c r="K1141" s="42">
        <v>49</v>
      </c>
      <c r="L1141" s="43"/>
      <c r="M1141" s="43">
        <f>L1141*K1141</f>
        <v>0</v>
      </c>
      <c r="N1141" s="35">
        <v>4690368030854</v>
      </c>
    </row>
    <row r="1142" spans="1:14" ht="36" customHeight="1" outlineLevel="3" x14ac:dyDescent="0.2">
      <c r="A1142" s="36" t="s">
        <v>1395</v>
      </c>
      <c r="B1142" s="37" t="str">
        <f>HYPERLINK("http://www.sedek.ru/upload/iblock/472/ogurets_shubert_f1.jpg","Фото")</f>
        <v>Фото</v>
      </c>
      <c r="C1142" s="38"/>
      <c r="D1142" s="38"/>
      <c r="E1142" s="39" t="s">
        <v>1175</v>
      </c>
      <c r="F1142" s="39" t="s">
        <v>1396</v>
      </c>
      <c r="G1142" s="40">
        <v>8</v>
      </c>
      <c r="H1142" s="39" t="s">
        <v>307</v>
      </c>
      <c r="I1142" s="39" t="s">
        <v>102</v>
      </c>
      <c r="J1142" s="41">
        <v>4000</v>
      </c>
      <c r="K1142" s="42">
        <v>49</v>
      </c>
      <c r="L1142" s="43"/>
      <c r="M1142" s="43">
        <f>L1142*K1142</f>
        <v>0</v>
      </c>
      <c r="N1142" s="35">
        <v>4690368030861</v>
      </c>
    </row>
    <row r="1143" spans="1:14" ht="24" customHeight="1" outlineLevel="3" x14ac:dyDescent="0.2">
      <c r="A1143" s="45">
        <v>16251</v>
      </c>
      <c r="B1143" s="37" t="str">
        <f>HYPERLINK("http://sedek.ru/upload/iblock/99c/ogurets_eliza_f1.jpg","фото")</f>
        <v>фото</v>
      </c>
      <c r="C1143" s="38"/>
      <c r="D1143" s="38"/>
      <c r="E1143" s="39"/>
      <c r="F1143" s="39" t="s">
        <v>1397</v>
      </c>
      <c r="G1143" s="44">
        <v>0.2</v>
      </c>
      <c r="H1143" s="39" t="s">
        <v>101</v>
      </c>
      <c r="I1143" s="39" t="s">
        <v>102</v>
      </c>
      <c r="J1143" s="41">
        <v>4000</v>
      </c>
      <c r="K1143" s="42">
        <v>29.3</v>
      </c>
      <c r="L1143" s="43"/>
      <c r="M1143" s="43">
        <f>L1143*K1143</f>
        <v>0</v>
      </c>
      <c r="N1143" s="35">
        <v>4690368015110</v>
      </c>
    </row>
    <row r="1144" spans="1:14" ht="36" customHeight="1" outlineLevel="3" x14ac:dyDescent="0.2">
      <c r="A1144" s="45">
        <v>14327</v>
      </c>
      <c r="B1144" s="37" t="str">
        <f>HYPERLINK("http://sedek.ru/upload/iblock/0fa/ogurets_yamal_f1.jpg","фото")</f>
        <v>фото</v>
      </c>
      <c r="C1144" s="38"/>
      <c r="D1144" s="38" t="s">
        <v>266</v>
      </c>
      <c r="E1144" s="39"/>
      <c r="F1144" s="39" t="s">
        <v>1398</v>
      </c>
      <c r="G1144" s="44">
        <v>0.2</v>
      </c>
      <c r="H1144" s="39" t="s">
        <v>101</v>
      </c>
      <c r="I1144" s="39" t="s">
        <v>102</v>
      </c>
      <c r="J1144" s="41">
        <v>4000</v>
      </c>
      <c r="K1144" s="42">
        <v>52.2</v>
      </c>
      <c r="L1144" s="43"/>
      <c r="M1144" s="43">
        <f>L1144*K1144</f>
        <v>0</v>
      </c>
      <c r="N1144" s="35">
        <v>4690368017008</v>
      </c>
    </row>
    <row r="1145" spans="1:14" ht="12" customHeight="1" outlineLevel="2" x14ac:dyDescent="0.2">
      <c r="A1145" s="22"/>
      <c r="B1145" s="23"/>
      <c r="C1145" s="23"/>
      <c r="D1145" s="23"/>
      <c r="E1145" s="24"/>
      <c r="F1145" s="24" t="s">
        <v>1399</v>
      </c>
      <c r="G1145" s="24"/>
      <c r="H1145" s="24"/>
      <c r="I1145" s="24"/>
      <c r="J1145" s="24"/>
      <c r="K1145" s="24"/>
      <c r="L1145" s="24"/>
      <c r="M1145" s="24"/>
      <c r="N1145" s="25"/>
    </row>
    <row r="1146" spans="1:14" ht="36" customHeight="1" outlineLevel="3" x14ac:dyDescent="0.2">
      <c r="A1146" s="46">
        <v>14107</v>
      </c>
      <c r="B1146" s="47" t="str">
        <f>HYPERLINK("http://sedek.ru/upload/iblock/c31/patisson_belosnezhka.jpg","фото")</f>
        <v>фото</v>
      </c>
      <c r="C1146" s="48"/>
      <c r="D1146" s="48"/>
      <c r="E1146" s="49"/>
      <c r="F1146" s="49" t="s">
        <v>1400</v>
      </c>
      <c r="G1146" s="50">
        <v>1</v>
      </c>
      <c r="H1146" s="49" t="s">
        <v>101</v>
      </c>
      <c r="I1146" s="49" t="s">
        <v>102</v>
      </c>
      <c r="J1146" s="51">
        <v>2000</v>
      </c>
      <c r="K1146" s="52">
        <v>20</v>
      </c>
      <c r="L1146" s="53"/>
      <c r="M1146" s="53">
        <f>L1146*K1146</f>
        <v>0</v>
      </c>
      <c r="N1146" s="35">
        <v>4690368000277</v>
      </c>
    </row>
    <row r="1147" spans="1:14" ht="36" customHeight="1" outlineLevel="3" x14ac:dyDescent="0.2">
      <c r="A1147" s="71">
        <v>14107</v>
      </c>
      <c r="B1147" s="72" t="str">
        <f>HYPERLINK("http://sedek.ru/upload/iblock/c31/patisson_belosnezhka.jpg","фото")</f>
        <v>фото</v>
      </c>
      <c r="C1147" s="73"/>
      <c r="D1147" s="73"/>
      <c r="E1147" s="74"/>
      <c r="F1147" s="74" t="s">
        <v>1401</v>
      </c>
      <c r="G1147" s="75">
        <v>1</v>
      </c>
      <c r="H1147" s="74" t="s">
        <v>101</v>
      </c>
      <c r="I1147" s="74" t="s">
        <v>287</v>
      </c>
      <c r="J1147" s="76">
        <v>2000</v>
      </c>
      <c r="K1147" s="77">
        <v>10.3</v>
      </c>
      <c r="L1147" s="78"/>
      <c r="M1147" s="78">
        <f>L1147*K1147</f>
        <v>0</v>
      </c>
      <c r="N1147" s="79">
        <v>4690368004664</v>
      </c>
    </row>
    <row r="1148" spans="1:14" ht="24" customHeight="1" outlineLevel="3" x14ac:dyDescent="0.2">
      <c r="A1148" s="36" t="s">
        <v>1402</v>
      </c>
      <c r="B1148" s="37" t="str">
        <f>HYPERLINK("http://www.sedek.ru/upload/iblock/853/patisson_belye_13.jpg","фото")</f>
        <v>фото</v>
      </c>
      <c r="C1148" s="38"/>
      <c r="D1148" s="38"/>
      <c r="E1148" s="39"/>
      <c r="F1148" s="39" t="s">
        <v>1403</v>
      </c>
      <c r="G1148" s="40">
        <v>1</v>
      </c>
      <c r="H1148" s="39" t="s">
        <v>101</v>
      </c>
      <c r="I1148" s="39" t="s">
        <v>102</v>
      </c>
      <c r="J1148" s="41">
        <v>2000</v>
      </c>
      <c r="K1148" s="42">
        <v>15.6</v>
      </c>
      <c r="L1148" s="43"/>
      <c r="M1148" s="43">
        <f>L1148*K1148</f>
        <v>0</v>
      </c>
      <c r="N1148" s="35">
        <v>4690368030373</v>
      </c>
    </row>
    <row r="1149" spans="1:14" ht="36" customHeight="1" outlineLevel="3" x14ac:dyDescent="0.2">
      <c r="A1149" s="45">
        <v>13674</v>
      </c>
      <c r="B1149" s="37" t="str">
        <f>HYPERLINK("http://www.sedek.ru/upload/iblock/62c/patisson_veselye_druzya_smes.jpg","фото")</f>
        <v>фото</v>
      </c>
      <c r="C1149" s="38"/>
      <c r="D1149" s="38"/>
      <c r="E1149" s="39"/>
      <c r="F1149" s="39" t="s">
        <v>1404</v>
      </c>
      <c r="G1149" s="40">
        <v>1</v>
      </c>
      <c r="H1149" s="39" t="s">
        <v>101</v>
      </c>
      <c r="I1149" s="39" t="s">
        <v>102</v>
      </c>
      <c r="J1149" s="41">
        <v>2000</v>
      </c>
      <c r="K1149" s="42">
        <v>25.1</v>
      </c>
      <c r="L1149" s="43"/>
      <c r="M1149" s="43">
        <f>L1149*K1149</f>
        <v>0</v>
      </c>
      <c r="N1149" s="35">
        <v>4690368022453</v>
      </c>
    </row>
    <row r="1150" spans="1:14" ht="36" customHeight="1" outlineLevel="3" x14ac:dyDescent="0.2">
      <c r="A1150" s="45">
        <v>15497</v>
      </c>
      <c r="B1150" s="37" t="str">
        <f>HYPERLINK("http://sedek.ru/upload/iblock/e90/patisson_gosha.jpg","фото")</f>
        <v>фото</v>
      </c>
      <c r="C1150" s="38"/>
      <c r="D1150" s="38"/>
      <c r="E1150" s="39"/>
      <c r="F1150" s="39" t="s">
        <v>1405</v>
      </c>
      <c r="G1150" s="40">
        <v>1</v>
      </c>
      <c r="H1150" s="39" t="s">
        <v>101</v>
      </c>
      <c r="I1150" s="39" t="s">
        <v>102</v>
      </c>
      <c r="J1150" s="41">
        <v>2000</v>
      </c>
      <c r="K1150" s="42">
        <v>22.3</v>
      </c>
      <c r="L1150" s="43"/>
      <c r="M1150" s="43">
        <f>L1150*K1150</f>
        <v>0</v>
      </c>
      <c r="N1150" s="35">
        <v>4607015188226</v>
      </c>
    </row>
    <row r="1151" spans="1:14" ht="36" customHeight="1" outlineLevel="3" x14ac:dyDescent="0.2">
      <c r="A1151" s="45">
        <v>15497</v>
      </c>
      <c r="B1151" s="37" t="str">
        <f>HYPERLINK("http://sedek.ru/upload/iblock/e90/patisson_gosha.jpg","фото")</f>
        <v>фото</v>
      </c>
      <c r="C1151" s="38"/>
      <c r="D1151" s="38"/>
      <c r="E1151" s="39"/>
      <c r="F1151" s="39" t="s">
        <v>1406</v>
      </c>
      <c r="G1151" s="40">
        <v>1</v>
      </c>
      <c r="H1151" s="39" t="s">
        <v>101</v>
      </c>
      <c r="I1151" s="39" t="s">
        <v>287</v>
      </c>
      <c r="J1151" s="41">
        <v>2000</v>
      </c>
      <c r="K1151" s="42">
        <v>10.3</v>
      </c>
      <c r="L1151" s="43"/>
      <c r="M1151" s="43">
        <f>L1151*K1151</f>
        <v>0</v>
      </c>
      <c r="N1151" s="35">
        <v>4607149407385</v>
      </c>
    </row>
    <row r="1152" spans="1:14" ht="36" customHeight="1" outlineLevel="3" x14ac:dyDescent="0.2">
      <c r="A1152" s="45">
        <v>14643</v>
      </c>
      <c r="B1152" s="37" t="str">
        <f>HYPERLINK("http://www.sedek.ru/upload/iblock/00f/patisson_disk.jpg","фото")</f>
        <v>фото</v>
      </c>
      <c r="C1152" s="38"/>
      <c r="D1152" s="38"/>
      <c r="E1152" s="39"/>
      <c r="F1152" s="39" t="s">
        <v>1407</v>
      </c>
      <c r="G1152" s="40">
        <v>1</v>
      </c>
      <c r="H1152" s="39" t="s">
        <v>101</v>
      </c>
      <c r="I1152" s="39" t="s">
        <v>102</v>
      </c>
      <c r="J1152" s="41">
        <v>2000</v>
      </c>
      <c r="K1152" s="42">
        <v>15.6</v>
      </c>
      <c r="L1152" s="43"/>
      <c r="M1152" s="43">
        <f>L1152*K1152</f>
        <v>0</v>
      </c>
      <c r="N1152" s="35">
        <v>4607015188233</v>
      </c>
    </row>
    <row r="1153" spans="1:14" ht="36" customHeight="1" outlineLevel="3" x14ac:dyDescent="0.2">
      <c r="A1153" s="45">
        <v>14643</v>
      </c>
      <c r="B1153" s="37" t="str">
        <f>HYPERLINK("http://www.sedek.ru/upload/iblock/00f/patisson_disk.jpg","фото")</f>
        <v>фото</v>
      </c>
      <c r="C1153" s="38"/>
      <c r="D1153" s="38"/>
      <c r="E1153" s="39"/>
      <c r="F1153" s="39" t="s">
        <v>1408</v>
      </c>
      <c r="G1153" s="40">
        <v>1</v>
      </c>
      <c r="H1153" s="39" t="s">
        <v>101</v>
      </c>
      <c r="I1153" s="39" t="s">
        <v>287</v>
      </c>
      <c r="J1153" s="41">
        <v>2000</v>
      </c>
      <c r="K1153" s="42">
        <v>8.1</v>
      </c>
      <c r="L1153" s="43"/>
      <c r="M1153" s="43">
        <f>L1153*K1153</f>
        <v>0</v>
      </c>
      <c r="N1153" s="35">
        <v>4607149402465</v>
      </c>
    </row>
    <row r="1154" spans="1:14" ht="36" customHeight="1" outlineLevel="3" x14ac:dyDescent="0.2">
      <c r="A1154" s="45">
        <v>16056</v>
      </c>
      <c r="B1154" s="37" t="str">
        <f>HYPERLINK("http://sedek.ru/upload/iblock/06b/patisson_zontik.jpg","фото")</f>
        <v>фото</v>
      </c>
      <c r="C1154" s="38"/>
      <c r="D1154" s="38" t="s">
        <v>266</v>
      </c>
      <c r="E1154" s="39"/>
      <c r="F1154" s="39" t="s">
        <v>1409</v>
      </c>
      <c r="G1154" s="40">
        <v>1</v>
      </c>
      <c r="H1154" s="39" t="s">
        <v>101</v>
      </c>
      <c r="I1154" s="39" t="s">
        <v>102</v>
      </c>
      <c r="J1154" s="41">
        <v>2000</v>
      </c>
      <c r="K1154" s="42">
        <v>16.899999999999999</v>
      </c>
      <c r="L1154" s="43"/>
      <c r="M1154" s="43">
        <f>L1154*K1154</f>
        <v>0</v>
      </c>
      <c r="N1154" s="35">
        <v>4690368000284</v>
      </c>
    </row>
    <row r="1155" spans="1:14" ht="36" customHeight="1" outlineLevel="3" x14ac:dyDescent="0.2">
      <c r="A1155" s="46">
        <v>16459</v>
      </c>
      <c r="B1155" s="47" t="str">
        <f>HYPERLINK("http://sedek.ru/upload/iblock/bd0/patisson_solnechnyy_zaychik.jpg","фото")</f>
        <v>фото</v>
      </c>
      <c r="C1155" s="48"/>
      <c r="D1155" s="48"/>
      <c r="E1155" s="49"/>
      <c r="F1155" s="49" t="s">
        <v>1410</v>
      </c>
      <c r="G1155" s="56">
        <v>0.5</v>
      </c>
      <c r="H1155" s="49" t="s">
        <v>101</v>
      </c>
      <c r="I1155" s="49" t="s">
        <v>102</v>
      </c>
      <c r="J1155" s="51">
        <v>2000</v>
      </c>
      <c r="K1155" s="52">
        <v>18.600000000000001</v>
      </c>
      <c r="L1155" s="53"/>
      <c r="M1155" s="53">
        <f>L1155*K1155</f>
        <v>0</v>
      </c>
      <c r="N1155" s="35">
        <v>4690368000291</v>
      </c>
    </row>
    <row r="1156" spans="1:14" ht="24" customHeight="1" outlineLevel="3" x14ac:dyDescent="0.2">
      <c r="A1156" s="45">
        <v>15720</v>
      </c>
      <c r="B1156" s="37" t="str">
        <f>HYPERLINK("http://sedek.ru/upload/iblock/956/patisson_marrov.jpg","фото")</f>
        <v>фото</v>
      </c>
      <c r="C1156" s="38"/>
      <c r="D1156" s="38" t="s">
        <v>266</v>
      </c>
      <c r="E1156" s="39"/>
      <c r="F1156" s="39" t="s">
        <v>1411</v>
      </c>
      <c r="G1156" s="40">
        <v>1</v>
      </c>
      <c r="H1156" s="39" t="s">
        <v>101</v>
      </c>
      <c r="I1156" s="39" t="s">
        <v>102</v>
      </c>
      <c r="J1156" s="41">
        <v>2000</v>
      </c>
      <c r="K1156" s="42">
        <v>20</v>
      </c>
      <c r="L1156" s="43"/>
      <c r="M1156" s="43">
        <f>L1156*K1156</f>
        <v>0</v>
      </c>
      <c r="N1156" s="35">
        <v>4607015182989</v>
      </c>
    </row>
    <row r="1157" spans="1:14" ht="24" customHeight="1" outlineLevel="3" x14ac:dyDescent="0.2">
      <c r="A1157" s="45">
        <v>15720</v>
      </c>
      <c r="B1157" s="37" t="str">
        <f>HYPERLINK("http://sedek.ru/upload/iblock/956/patisson_marrov.jpg","фото")</f>
        <v>фото</v>
      </c>
      <c r="C1157" s="38"/>
      <c r="D1157" s="38" t="s">
        <v>266</v>
      </c>
      <c r="E1157" s="39"/>
      <c r="F1157" s="39" t="s">
        <v>1412</v>
      </c>
      <c r="G1157" s="40">
        <v>1</v>
      </c>
      <c r="H1157" s="39" t="s">
        <v>101</v>
      </c>
      <c r="I1157" s="39" t="s">
        <v>287</v>
      </c>
      <c r="J1157" s="41">
        <v>2000</v>
      </c>
      <c r="K1157" s="42">
        <v>8.9</v>
      </c>
      <c r="L1157" s="43"/>
      <c r="M1157" s="43">
        <f>L1157*K1157</f>
        <v>0</v>
      </c>
      <c r="N1157" s="35">
        <v>4607149402472</v>
      </c>
    </row>
    <row r="1158" spans="1:14" ht="24" customHeight="1" outlineLevel="3" x14ac:dyDescent="0.2">
      <c r="A1158" s="45">
        <v>16499</v>
      </c>
      <c r="B1158" s="37" t="str">
        <f>HYPERLINK("http://www.sedek.ru/upload/iblock/41b/patisson_pyatachok.jpg","фото")</f>
        <v>фото</v>
      </c>
      <c r="C1158" s="38"/>
      <c r="D1158" s="38"/>
      <c r="E1158" s="39"/>
      <c r="F1158" s="39" t="s">
        <v>1413</v>
      </c>
      <c r="G1158" s="40">
        <v>1</v>
      </c>
      <c r="H1158" s="39" t="s">
        <v>101</v>
      </c>
      <c r="I1158" s="39" t="s">
        <v>102</v>
      </c>
      <c r="J1158" s="41">
        <v>2000</v>
      </c>
      <c r="K1158" s="42">
        <v>21</v>
      </c>
      <c r="L1158" s="43"/>
      <c r="M1158" s="43">
        <f>L1158*K1158</f>
        <v>0</v>
      </c>
      <c r="N1158" s="35">
        <v>4690368005845</v>
      </c>
    </row>
    <row r="1159" spans="1:14" ht="24" customHeight="1" outlineLevel="3" x14ac:dyDescent="0.2">
      <c r="A1159" s="45">
        <v>15971</v>
      </c>
      <c r="B1159" s="37" t="str">
        <f>HYPERLINK("http://sedek.ru/upload/iblock/d3c/patisson_rodeo_f1.jpg","фото")</f>
        <v>фото</v>
      </c>
      <c r="C1159" s="38"/>
      <c r="D1159" s="38"/>
      <c r="E1159" s="39"/>
      <c r="F1159" s="39" t="s">
        <v>1414</v>
      </c>
      <c r="G1159" s="40">
        <v>1</v>
      </c>
      <c r="H1159" s="39" t="s">
        <v>101</v>
      </c>
      <c r="I1159" s="39" t="s">
        <v>102</v>
      </c>
      <c r="J1159" s="41">
        <v>2000</v>
      </c>
      <c r="K1159" s="42">
        <v>21.6</v>
      </c>
      <c r="L1159" s="43"/>
      <c r="M1159" s="43">
        <f>L1159*K1159</f>
        <v>0</v>
      </c>
      <c r="N1159" s="35">
        <v>4607015183009</v>
      </c>
    </row>
    <row r="1160" spans="1:14" ht="12" customHeight="1" outlineLevel="2" x14ac:dyDescent="0.2">
      <c r="A1160" s="22"/>
      <c r="B1160" s="23"/>
      <c r="C1160" s="23"/>
      <c r="D1160" s="23"/>
      <c r="E1160" s="24"/>
      <c r="F1160" s="24" t="s">
        <v>1415</v>
      </c>
      <c r="G1160" s="24"/>
      <c r="H1160" s="24"/>
      <c r="I1160" s="24"/>
      <c r="J1160" s="24"/>
      <c r="K1160" s="24"/>
      <c r="L1160" s="24"/>
      <c r="M1160" s="24"/>
      <c r="N1160" s="25"/>
    </row>
    <row r="1161" spans="1:14" ht="36" customHeight="1" outlineLevel="3" x14ac:dyDescent="0.2">
      <c r="A1161" s="36" t="s">
        <v>1416</v>
      </c>
      <c r="B1161" s="37" t="str">
        <f>HYPERLINK("http://sedek.ru/upload/iblock/a8c/perets_admiral_kolchak_f1.jpg","фото")</f>
        <v>фото</v>
      </c>
      <c r="C1161" s="38"/>
      <c r="D1161" s="38"/>
      <c r="E1161" s="39" t="s">
        <v>1417</v>
      </c>
      <c r="F1161" s="39" t="s">
        <v>1418</v>
      </c>
      <c r="G1161" s="44">
        <v>0.1</v>
      </c>
      <c r="H1161" s="39" t="s">
        <v>101</v>
      </c>
      <c r="I1161" s="39" t="s">
        <v>102</v>
      </c>
      <c r="J1161" s="41">
        <v>4000</v>
      </c>
      <c r="K1161" s="42">
        <v>96.5</v>
      </c>
      <c r="L1161" s="43"/>
      <c r="M1161" s="43">
        <f>L1161*K1161</f>
        <v>0</v>
      </c>
      <c r="N1161" s="35">
        <v>4690368026642</v>
      </c>
    </row>
    <row r="1162" spans="1:14" ht="36" customHeight="1" outlineLevel="3" x14ac:dyDescent="0.2">
      <c r="A1162" s="36" t="s">
        <v>1419</v>
      </c>
      <c r="B1162" s="37" t="str">
        <f>HYPERLINK("http://www.sedek.ru/upload/iblock/7a4/perets_admiral_nakhimov_f1.jpg","фото")</f>
        <v>фото</v>
      </c>
      <c r="C1162" s="38"/>
      <c r="D1162" s="38"/>
      <c r="E1162" s="39" t="s">
        <v>1417</v>
      </c>
      <c r="F1162" s="39" t="s">
        <v>1420</v>
      </c>
      <c r="G1162" s="44">
        <v>0.1</v>
      </c>
      <c r="H1162" s="39" t="s">
        <v>101</v>
      </c>
      <c r="I1162" s="39" t="s">
        <v>102</v>
      </c>
      <c r="J1162" s="41">
        <v>4000</v>
      </c>
      <c r="K1162" s="42">
        <v>96.5</v>
      </c>
      <c r="L1162" s="43"/>
      <c r="M1162" s="43">
        <f>L1162*K1162</f>
        <v>0</v>
      </c>
      <c r="N1162" s="35">
        <v>4690368027434</v>
      </c>
    </row>
    <row r="1163" spans="1:14" ht="36" customHeight="1" outlineLevel="3" x14ac:dyDescent="0.2">
      <c r="A1163" s="36" t="s">
        <v>1421</v>
      </c>
      <c r="B1163" s="37" t="str">
        <f>HYPERLINK("http://sedek.ru/upload/iblock/979/perets_admiral_ushakov_f1.jpg","фото")</f>
        <v>фото</v>
      </c>
      <c r="C1163" s="38"/>
      <c r="D1163" s="38"/>
      <c r="E1163" s="39" t="s">
        <v>1417</v>
      </c>
      <c r="F1163" s="39" t="s">
        <v>1422</v>
      </c>
      <c r="G1163" s="44">
        <v>0.1</v>
      </c>
      <c r="H1163" s="39" t="s">
        <v>101</v>
      </c>
      <c r="I1163" s="39" t="s">
        <v>102</v>
      </c>
      <c r="J1163" s="41">
        <v>4000</v>
      </c>
      <c r="K1163" s="42">
        <v>96.5</v>
      </c>
      <c r="L1163" s="43"/>
      <c r="M1163" s="43">
        <f>L1163*K1163</f>
        <v>0</v>
      </c>
      <c r="N1163" s="35">
        <v>4690368027427</v>
      </c>
    </row>
    <row r="1164" spans="1:14" ht="36" customHeight="1" outlineLevel="3" x14ac:dyDescent="0.2">
      <c r="A1164" s="36" t="s">
        <v>1423</v>
      </c>
      <c r="B1164" s="37" t="str">
        <f>HYPERLINK("http://www.sedek.ru/upload/iblock/c2d/perets_azhur_f1_sladkiy.jpg","фото")</f>
        <v>фото</v>
      </c>
      <c r="C1164" s="38"/>
      <c r="D1164" s="38"/>
      <c r="E1164" s="39" t="s">
        <v>263</v>
      </c>
      <c r="F1164" s="39" t="s">
        <v>1424</v>
      </c>
      <c r="G1164" s="44">
        <v>0.1</v>
      </c>
      <c r="H1164" s="39" t="s">
        <v>101</v>
      </c>
      <c r="I1164" s="39" t="s">
        <v>102</v>
      </c>
      <c r="J1164" s="41">
        <v>4000</v>
      </c>
      <c r="K1164" s="42">
        <v>79.7</v>
      </c>
      <c r="L1164" s="43"/>
      <c r="M1164" s="43">
        <f>L1164*K1164</f>
        <v>0</v>
      </c>
      <c r="N1164" s="35">
        <v>4690368030380</v>
      </c>
    </row>
    <row r="1165" spans="1:14" ht="36" customHeight="1" outlineLevel="3" x14ac:dyDescent="0.2">
      <c r="A1165" s="36" t="s">
        <v>1425</v>
      </c>
      <c r="B1165" s="37" t="str">
        <f>HYPERLINK("http://www.sedek.ru/upload/iblock/9ec/perets_aleksiy.jpg","фото")</f>
        <v>фото</v>
      </c>
      <c r="C1165" s="38"/>
      <c r="D1165" s="38"/>
      <c r="E1165" s="39"/>
      <c r="F1165" s="39" t="s">
        <v>1426</v>
      </c>
      <c r="G1165" s="44">
        <v>0.1</v>
      </c>
      <c r="H1165" s="39" t="s">
        <v>101</v>
      </c>
      <c r="I1165" s="39" t="s">
        <v>102</v>
      </c>
      <c r="J1165" s="41">
        <v>4000</v>
      </c>
      <c r="K1165" s="42">
        <v>20</v>
      </c>
      <c r="L1165" s="43"/>
      <c r="M1165" s="43">
        <f>L1165*K1165</f>
        <v>0</v>
      </c>
      <c r="N1165" s="35">
        <v>4690368033800</v>
      </c>
    </row>
    <row r="1166" spans="1:14" ht="36" customHeight="1" outlineLevel="3" x14ac:dyDescent="0.2">
      <c r="A1166" s="45">
        <v>14765</v>
      </c>
      <c r="B1166" s="37" t="str">
        <f>HYPERLINK("http://sedek.ru/upload/iblock/078/perets_alligator.jpg","фото")</f>
        <v>фото</v>
      </c>
      <c r="C1166" s="38"/>
      <c r="D1166" s="38"/>
      <c r="E1166" s="39"/>
      <c r="F1166" s="39" t="s">
        <v>1427</v>
      </c>
      <c r="G1166" s="44">
        <v>0.1</v>
      </c>
      <c r="H1166" s="39" t="s">
        <v>101</v>
      </c>
      <c r="I1166" s="39" t="s">
        <v>102</v>
      </c>
      <c r="J1166" s="41">
        <v>4000</v>
      </c>
      <c r="K1166" s="42">
        <v>25.3</v>
      </c>
      <c r="L1166" s="43"/>
      <c r="M1166" s="43">
        <f>L1166*K1166</f>
        <v>0</v>
      </c>
      <c r="N1166" s="35">
        <v>4690368000307</v>
      </c>
    </row>
    <row r="1167" spans="1:14" ht="36" customHeight="1" outlineLevel="3" x14ac:dyDescent="0.2">
      <c r="A1167" s="45">
        <v>14358</v>
      </c>
      <c r="B1167" s="37" t="str">
        <f>HYPERLINK("http://sedek.ru/upload/iblock/eae/perets_annushka_f1.jpg","фото")</f>
        <v>фото</v>
      </c>
      <c r="C1167" s="38"/>
      <c r="D1167" s="38" t="s">
        <v>266</v>
      </c>
      <c r="E1167" s="39"/>
      <c r="F1167" s="39" t="s">
        <v>1428</v>
      </c>
      <c r="G1167" s="44">
        <v>0.2</v>
      </c>
      <c r="H1167" s="39" t="s">
        <v>101</v>
      </c>
      <c r="I1167" s="39" t="s">
        <v>102</v>
      </c>
      <c r="J1167" s="41">
        <v>4000</v>
      </c>
      <c r="K1167" s="42">
        <v>20</v>
      </c>
      <c r="L1167" s="43"/>
      <c r="M1167" s="43">
        <f>L1167*K1167</f>
        <v>0</v>
      </c>
      <c r="N1167" s="35">
        <v>4607116267455</v>
      </c>
    </row>
    <row r="1168" spans="1:14" ht="36" customHeight="1" outlineLevel="3" x14ac:dyDescent="0.2">
      <c r="A1168" s="46">
        <v>15831</v>
      </c>
      <c r="B1168" s="47" t="str">
        <f>HYPERLINK("http://sedek.ru/upload/iblock/93b/perets_antoshka.jpg","фото")</f>
        <v>фото</v>
      </c>
      <c r="C1168" s="48"/>
      <c r="D1168" s="48"/>
      <c r="E1168" s="49"/>
      <c r="F1168" s="49" t="s">
        <v>1429</v>
      </c>
      <c r="G1168" s="56">
        <v>0.2</v>
      </c>
      <c r="H1168" s="49" t="s">
        <v>101</v>
      </c>
      <c r="I1168" s="49" t="s">
        <v>102</v>
      </c>
      <c r="J1168" s="51">
        <v>4000</v>
      </c>
      <c r="K1168" s="52">
        <v>19</v>
      </c>
      <c r="L1168" s="53"/>
      <c r="M1168" s="53">
        <f>L1168*K1168</f>
        <v>0</v>
      </c>
      <c r="N1168" s="35">
        <v>4690368004374</v>
      </c>
    </row>
    <row r="1169" spans="1:14" ht="36" customHeight="1" outlineLevel="3" x14ac:dyDescent="0.2">
      <c r="A1169" s="71">
        <v>15831</v>
      </c>
      <c r="B1169" s="72" t="str">
        <f>HYPERLINK("http://sedek.ru/upload/iblock/93b/perets_antoshka.jpg","фото")</f>
        <v>фото</v>
      </c>
      <c r="C1169" s="73"/>
      <c r="D1169" s="73"/>
      <c r="E1169" s="74"/>
      <c r="F1169" s="74" t="s">
        <v>1430</v>
      </c>
      <c r="G1169" s="80">
        <v>0.2</v>
      </c>
      <c r="H1169" s="74" t="s">
        <v>101</v>
      </c>
      <c r="I1169" s="74" t="s">
        <v>287</v>
      </c>
      <c r="J1169" s="76">
        <v>4000</v>
      </c>
      <c r="K1169" s="77">
        <v>7.3</v>
      </c>
      <c r="L1169" s="78"/>
      <c r="M1169" s="78">
        <f>L1169*K1169</f>
        <v>0</v>
      </c>
      <c r="N1169" s="79">
        <v>4690368043984</v>
      </c>
    </row>
    <row r="1170" spans="1:14" ht="36" customHeight="1" outlineLevel="3" x14ac:dyDescent="0.2">
      <c r="A1170" s="45">
        <v>13711</v>
      </c>
      <c r="B1170" s="37" t="str">
        <f>HYPERLINK("http://sedek.ru/upload/iblock/5f0/perets_apollon_f1.jpg","фото")</f>
        <v>фото</v>
      </c>
      <c r="C1170" s="38"/>
      <c r="D1170" s="38"/>
      <c r="E1170" s="39"/>
      <c r="F1170" s="39" t="s">
        <v>1431</v>
      </c>
      <c r="G1170" s="44">
        <v>0.1</v>
      </c>
      <c r="H1170" s="39"/>
      <c r="I1170" s="39" t="s">
        <v>102</v>
      </c>
      <c r="J1170" s="41">
        <v>4000</v>
      </c>
      <c r="K1170" s="42">
        <v>20.100000000000001</v>
      </c>
      <c r="L1170" s="43"/>
      <c r="M1170" s="43">
        <f>L1170*K1170</f>
        <v>0</v>
      </c>
      <c r="N1170" s="35">
        <v>4607015183047</v>
      </c>
    </row>
    <row r="1171" spans="1:14" ht="36" customHeight="1" outlineLevel="3" x14ac:dyDescent="0.2">
      <c r="A1171" s="45">
        <v>13950</v>
      </c>
      <c r="B1171" s="37" t="str">
        <f>HYPERLINK("http://sedek.ru/upload/iblock/694/perets_aramis_f1.jpg","фото")</f>
        <v>фото</v>
      </c>
      <c r="C1171" s="38"/>
      <c r="D1171" s="38"/>
      <c r="E1171" s="39"/>
      <c r="F1171" s="39" t="s">
        <v>1432</v>
      </c>
      <c r="G1171" s="44">
        <v>0.1</v>
      </c>
      <c r="H1171" s="39" t="s">
        <v>101</v>
      </c>
      <c r="I1171" s="39" t="s">
        <v>102</v>
      </c>
      <c r="J1171" s="41">
        <v>4000</v>
      </c>
      <c r="K1171" s="42">
        <v>20.100000000000001</v>
      </c>
      <c r="L1171" s="43"/>
      <c r="M1171" s="43">
        <f>L1171*K1171</f>
        <v>0</v>
      </c>
      <c r="N1171" s="35">
        <v>4607015183061</v>
      </c>
    </row>
    <row r="1172" spans="1:14" ht="36" customHeight="1" outlineLevel="3" x14ac:dyDescent="0.2">
      <c r="A1172" s="45">
        <v>16006</v>
      </c>
      <c r="B1172" s="37" t="str">
        <f>HYPERLINK("http://sedek.ru/upload/resize_cache/iblock/272/360_9999_140cd750bba9870f18aada2478b24840a/perets_barchuk.JPG","фото")</f>
        <v>фото</v>
      </c>
      <c r="C1172" s="38"/>
      <c r="D1172" s="38"/>
      <c r="E1172" s="39"/>
      <c r="F1172" s="39" t="s">
        <v>1433</v>
      </c>
      <c r="G1172" s="44">
        <v>0.2</v>
      </c>
      <c r="H1172" s="39" t="s">
        <v>101</v>
      </c>
      <c r="I1172" s="39" t="s">
        <v>102</v>
      </c>
      <c r="J1172" s="41">
        <v>4000</v>
      </c>
      <c r="K1172" s="42">
        <v>19.100000000000001</v>
      </c>
      <c r="L1172" s="43"/>
      <c r="M1172" s="43">
        <f>L1172*K1172</f>
        <v>0</v>
      </c>
      <c r="N1172" s="35">
        <v>4607149400102</v>
      </c>
    </row>
    <row r="1173" spans="1:14" ht="36" customHeight="1" outlineLevel="3" x14ac:dyDescent="0.2">
      <c r="A1173" s="45">
        <v>16233</v>
      </c>
      <c r="B1173" s="37" t="str">
        <f>HYPERLINK("http://sedek.ru/upload/iblock/c5a/perets_belozerka.jpg","фото")</f>
        <v>фото</v>
      </c>
      <c r="C1173" s="38"/>
      <c r="D1173" s="38"/>
      <c r="E1173" s="39"/>
      <c r="F1173" s="39" t="s">
        <v>1434</v>
      </c>
      <c r="G1173" s="44">
        <v>0.2</v>
      </c>
      <c r="H1173" s="39" t="s">
        <v>101</v>
      </c>
      <c r="I1173" s="39" t="s">
        <v>102</v>
      </c>
      <c r="J1173" s="41">
        <v>4000</v>
      </c>
      <c r="K1173" s="42">
        <v>16.899999999999999</v>
      </c>
      <c r="L1173" s="43"/>
      <c r="M1173" s="43">
        <f>L1173*K1173</f>
        <v>0</v>
      </c>
      <c r="N1173" s="35">
        <v>4607015183085</v>
      </c>
    </row>
    <row r="1174" spans="1:14" ht="48" customHeight="1" outlineLevel="3" x14ac:dyDescent="0.2">
      <c r="A1174" s="45">
        <v>15678</v>
      </c>
      <c r="B1174" s="37" t="str">
        <f>HYPERLINK("http://sedek.ru/upload/iblock/2ed/perets_belyy_naliv.jpg","фото")</f>
        <v>фото</v>
      </c>
      <c r="C1174" s="38"/>
      <c r="D1174" s="38"/>
      <c r="E1174" s="39" t="s">
        <v>1435</v>
      </c>
      <c r="F1174" s="39" t="s">
        <v>1436</v>
      </c>
      <c r="G1174" s="44">
        <v>0.2</v>
      </c>
      <c r="H1174" s="39" t="s">
        <v>101</v>
      </c>
      <c r="I1174" s="39" t="s">
        <v>102</v>
      </c>
      <c r="J1174" s="41">
        <v>4000</v>
      </c>
      <c r="K1174" s="42">
        <v>20</v>
      </c>
      <c r="L1174" s="43"/>
      <c r="M1174" s="43">
        <f>L1174*K1174</f>
        <v>0</v>
      </c>
      <c r="N1174" s="35">
        <v>4690368005869</v>
      </c>
    </row>
    <row r="1175" spans="1:14" ht="36" customHeight="1" outlineLevel="3" x14ac:dyDescent="0.2">
      <c r="A1175" s="45">
        <v>15918</v>
      </c>
      <c r="B1175" s="37" t="str">
        <f>HYPERLINK("http://sedek.ru/upload/iblock/5f3/perets_bogatyr.jpg","фото")</f>
        <v>фото</v>
      </c>
      <c r="C1175" s="38"/>
      <c r="D1175" s="38"/>
      <c r="E1175" s="39"/>
      <c r="F1175" s="39" t="s">
        <v>1437</v>
      </c>
      <c r="G1175" s="44">
        <v>0.2</v>
      </c>
      <c r="H1175" s="39" t="s">
        <v>101</v>
      </c>
      <c r="I1175" s="39" t="s">
        <v>102</v>
      </c>
      <c r="J1175" s="41">
        <v>4000</v>
      </c>
      <c r="K1175" s="42">
        <v>15.6</v>
      </c>
      <c r="L1175" s="43"/>
      <c r="M1175" s="43">
        <f>L1175*K1175</f>
        <v>0</v>
      </c>
      <c r="N1175" s="35">
        <v>4607015183108</v>
      </c>
    </row>
    <row r="1176" spans="1:14" ht="36" customHeight="1" outlineLevel="3" x14ac:dyDescent="0.2">
      <c r="A1176" s="36" t="s">
        <v>1438</v>
      </c>
      <c r="B1176" s="37" t="str">
        <f>HYPERLINK("http://www.sedek.ru/upload/iblock/811/perets_bolgarskiy_sl.jpg","фото")</f>
        <v>фото</v>
      </c>
      <c r="C1176" s="38"/>
      <c r="D1176" s="38"/>
      <c r="E1176" s="39"/>
      <c r="F1176" s="39" t="s">
        <v>1439</v>
      </c>
      <c r="G1176" s="44">
        <v>0.2</v>
      </c>
      <c r="H1176" s="39" t="s">
        <v>101</v>
      </c>
      <c r="I1176" s="39" t="s">
        <v>102</v>
      </c>
      <c r="J1176" s="41">
        <v>4000</v>
      </c>
      <c r="K1176" s="42">
        <v>20</v>
      </c>
      <c r="L1176" s="43"/>
      <c r="M1176" s="43">
        <f>L1176*K1176</f>
        <v>0</v>
      </c>
      <c r="N1176" s="35">
        <v>4690368032612</v>
      </c>
    </row>
    <row r="1177" spans="1:14" ht="36" customHeight="1" outlineLevel="3" x14ac:dyDescent="0.2">
      <c r="A1177" s="45">
        <v>13647</v>
      </c>
      <c r="B1177" s="37" t="str">
        <f>HYPERLINK("http://sedek.ru/upload/iblock/dcf/perets_bublik.jpg","фото")</f>
        <v>фото</v>
      </c>
      <c r="C1177" s="38"/>
      <c r="D1177" s="38" t="s">
        <v>266</v>
      </c>
      <c r="E1177" s="39"/>
      <c r="F1177" s="39" t="s">
        <v>1440</v>
      </c>
      <c r="G1177" s="44">
        <v>0.1</v>
      </c>
      <c r="H1177" s="39" t="s">
        <v>101</v>
      </c>
      <c r="I1177" s="39" t="s">
        <v>102</v>
      </c>
      <c r="J1177" s="41">
        <v>4000</v>
      </c>
      <c r="K1177" s="42">
        <v>19.5</v>
      </c>
      <c r="L1177" s="43"/>
      <c r="M1177" s="43">
        <f>L1177*K1177</f>
        <v>0</v>
      </c>
      <c r="N1177" s="35">
        <v>4690368022088</v>
      </c>
    </row>
    <row r="1178" spans="1:14" ht="36" customHeight="1" outlineLevel="3" x14ac:dyDescent="0.2">
      <c r="A1178" s="45">
        <v>14736</v>
      </c>
      <c r="B1178" s="37" t="str">
        <f>HYPERLINK("http://sedek.ru/upload/iblock/3c8/perets_buket_vostoka_f1.jpg","фото")</f>
        <v>фото</v>
      </c>
      <c r="C1178" s="38"/>
      <c r="D1178" s="38" t="s">
        <v>266</v>
      </c>
      <c r="E1178" s="39" t="s">
        <v>1441</v>
      </c>
      <c r="F1178" s="39" t="s">
        <v>1442</v>
      </c>
      <c r="G1178" s="44">
        <v>0.1</v>
      </c>
      <c r="H1178" s="39" t="s">
        <v>101</v>
      </c>
      <c r="I1178" s="39" t="s">
        <v>102</v>
      </c>
      <c r="J1178" s="41">
        <v>4000</v>
      </c>
      <c r="K1178" s="42">
        <v>25.3</v>
      </c>
      <c r="L1178" s="43"/>
      <c r="M1178" s="43">
        <f>L1178*K1178</f>
        <v>0</v>
      </c>
      <c r="N1178" s="35">
        <v>4607015183122</v>
      </c>
    </row>
    <row r="1179" spans="1:14" ht="36" customHeight="1" outlineLevel="3" x14ac:dyDescent="0.2">
      <c r="A1179" s="45">
        <v>14330</v>
      </c>
      <c r="B1179" s="37" t="str">
        <f>HYPERLINK("http://www.sedek.ru/upload/iblock/d0b/perets_burzhuin_f1.jpg","фото")</f>
        <v>фото</v>
      </c>
      <c r="C1179" s="38"/>
      <c r="D1179" s="38" t="s">
        <v>266</v>
      </c>
      <c r="E1179" s="39"/>
      <c r="F1179" s="39" t="s">
        <v>1443</v>
      </c>
      <c r="G1179" s="44">
        <v>0.1</v>
      </c>
      <c r="H1179" s="39" t="s">
        <v>101</v>
      </c>
      <c r="I1179" s="39" t="s">
        <v>102</v>
      </c>
      <c r="J1179" s="41">
        <v>4000</v>
      </c>
      <c r="K1179" s="42">
        <v>35.4</v>
      </c>
      <c r="L1179" s="43"/>
      <c r="M1179" s="43">
        <f>L1179*K1179</f>
        <v>0</v>
      </c>
      <c r="N1179" s="35">
        <v>4690368014953</v>
      </c>
    </row>
    <row r="1180" spans="1:14" ht="36" customHeight="1" outlineLevel="3" x14ac:dyDescent="0.2">
      <c r="A1180" s="36" t="s">
        <v>1444</v>
      </c>
      <c r="B1180" s="37" t="str">
        <f>HYPERLINK("https://www.sedek.ru/upload/iblock/09f/perets_ostryy_bkhut_dzholokiya.jpg","фото")</f>
        <v>фото</v>
      </c>
      <c r="C1180" s="38" t="s">
        <v>266</v>
      </c>
      <c r="D1180" s="38"/>
      <c r="E1180" s="39" t="s">
        <v>1445</v>
      </c>
      <c r="F1180" s="39" t="s">
        <v>1446</v>
      </c>
      <c r="G1180" s="40">
        <v>5</v>
      </c>
      <c r="H1180" s="39"/>
      <c r="I1180" s="39" t="s">
        <v>102</v>
      </c>
      <c r="J1180" s="41">
        <v>4000</v>
      </c>
      <c r="K1180" s="42">
        <v>167.7</v>
      </c>
      <c r="L1180" s="43"/>
      <c r="M1180" s="43">
        <f>L1180*K1180</f>
        <v>0</v>
      </c>
      <c r="N1180" s="35">
        <v>4690368044394</v>
      </c>
    </row>
    <row r="1181" spans="1:14" ht="36" customHeight="1" outlineLevel="3" x14ac:dyDescent="0.2">
      <c r="A1181" s="45">
        <v>14019</v>
      </c>
      <c r="B1181" s="37" t="str">
        <f>HYPERLINK("http://www.sedek.ru/upload/iblock/cea/perets_vengerskiy_zhyeltyy.jpg","фото")</f>
        <v>фото</v>
      </c>
      <c r="C1181" s="38"/>
      <c r="D1181" s="38"/>
      <c r="E1181" s="39" t="s">
        <v>1447</v>
      </c>
      <c r="F1181" s="39" t="s">
        <v>1448</v>
      </c>
      <c r="G1181" s="44">
        <v>0.1</v>
      </c>
      <c r="H1181" s="39" t="s">
        <v>101</v>
      </c>
      <c r="I1181" s="39" t="s">
        <v>287</v>
      </c>
      <c r="J1181" s="41">
        <v>4000</v>
      </c>
      <c r="K1181" s="42">
        <v>7.6</v>
      </c>
      <c r="L1181" s="43"/>
      <c r="M1181" s="43">
        <f>L1181*K1181</f>
        <v>0</v>
      </c>
      <c r="N1181" s="35">
        <v>4607149405633</v>
      </c>
    </row>
    <row r="1182" spans="1:14" ht="36" customHeight="1" outlineLevel="3" x14ac:dyDescent="0.2">
      <c r="A1182" s="45">
        <v>14877</v>
      </c>
      <c r="B1182" s="37" t="str">
        <f>HYPERLINK("http://sedek.ru/upload/iblock/91f/perets_viktoriya.jpg","фото")</f>
        <v>фото</v>
      </c>
      <c r="C1182" s="38"/>
      <c r="D1182" s="38"/>
      <c r="E1182" s="39"/>
      <c r="F1182" s="39" t="s">
        <v>1449</v>
      </c>
      <c r="G1182" s="44">
        <v>0.3</v>
      </c>
      <c r="H1182" s="39" t="s">
        <v>101</v>
      </c>
      <c r="I1182" s="39" t="s">
        <v>102</v>
      </c>
      <c r="J1182" s="41">
        <v>3000</v>
      </c>
      <c r="K1182" s="42">
        <v>20</v>
      </c>
      <c r="L1182" s="43"/>
      <c r="M1182" s="43">
        <f>L1182*K1182</f>
        <v>0</v>
      </c>
      <c r="N1182" s="35">
        <v>4607015183207</v>
      </c>
    </row>
    <row r="1183" spans="1:14" ht="36" customHeight="1" outlineLevel="3" x14ac:dyDescent="0.2">
      <c r="A1183" s="45">
        <v>14877</v>
      </c>
      <c r="B1183" s="37" t="str">
        <f>HYPERLINK("http://sedek.ru/upload/iblock/91f/perets_viktoriya.jpg","фото")</f>
        <v>фото</v>
      </c>
      <c r="C1183" s="38"/>
      <c r="D1183" s="38"/>
      <c r="E1183" s="39"/>
      <c r="F1183" s="39" t="s">
        <v>1450</v>
      </c>
      <c r="G1183" s="44">
        <v>0.2</v>
      </c>
      <c r="H1183" s="39" t="s">
        <v>101</v>
      </c>
      <c r="I1183" s="39" t="s">
        <v>287</v>
      </c>
      <c r="J1183" s="41">
        <v>3000</v>
      </c>
      <c r="K1183" s="42">
        <v>7</v>
      </c>
      <c r="L1183" s="43"/>
      <c r="M1183" s="43">
        <f>L1183*K1183</f>
        <v>0</v>
      </c>
      <c r="N1183" s="35">
        <v>4690368011242</v>
      </c>
    </row>
    <row r="1184" spans="1:14" ht="36" customHeight="1" outlineLevel="3" x14ac:dyDescent="0.2">
      <c r="A1184" s="45">
        <v>16027</v>
      </c>
      <c r="B1184" s="37" t="str">
        <f>HYPERLINK("http://sedek.ru/upload/iblock/1f2/perets_violetta.jpg","фото")</f>
        <v>фото</v>
      </c>
      <c r="C1184" s="38"/>
      <c r="D1184" s="38"/>
      <c r="E1184" s="39"/>
      <c r="F1184" s="39" t="s">
        <v>1451</v>
      </c>
      <c r="G1184" s="44">
        <v>0.2</v>
      </c>
      <c r="H1184" s="39" t="s">
        <v>101</v>
      </c>
      <c r="I1184" s="39" t="s">
        <v>102</v>
      </c>
      <c r="J1184" s="41">
        <v>4000</v>
      </c>
      <c r="K1184" s="42">
        <v>20</v>
      </c>
      <c r="L1184" s="43"/>
      <c r="M1184" s="43">
        <f>L1184*K1184</f>
        <v>0</v>
      </c>
      <c r="N1184" s="35">
        <v>4607015183245</v>
      </c>
    </row>
    <row r="1185" spans="1:14" ht="36" customHeight="1" outlineLevel="3" x14ac:dyDescent="0.2">
      <c r="A1185" s="45">
        <v>15682</v>
      </c>
      <c r="B1185" s="37" t="str">
        <f>HYPERLINK("http://sedek.ru/upload/iblock/90a/perets_vityaz.jpg","фото")</f>
        <v>фото</v>
      </c>
      <c r="C1185" s="38"/>
      <c r="D1185" s="38"/>
      <c r="E1185" s="39"/>
      <c r="F1185" s="39" t="s">
        <v>1452</v>
      </c>
      <c r="G1185" s="44">
        <v>0.3</v>
      </c>
      <c r="H1185" s="39" t="s">
        <v>101</v>
      </c>
      <c r="I1185" s="39" t="s">
        <v>102</v>
      </c>
      <c r="J1185" s="41">
        <v>3000</v>
      </c>
      <c r="K1185" s="42">
        <v>20</v>
      </c>
      <c r="L1185" s="43"/>
      <c r="M1185" s="43">
        <f>L1185*K1185</f>
        <v>0</v>
      </c>
      <c r="N1185" s="35">
        <v>4607015183269</v>
      </c>
    </row>
    <row r="1186" spans="1:14" ht="36" customHeight="1" outlineLevel="3" x14ac:dyDescent="0.2">
      <c r="A1186" s="45">
        <v>14867</v>
      </c>
      <c r="B1186" s="37" t="str">
        <f>HYPERLINK("http://www.sedek.ru/upload/iblock/b5b/perets_vikhr.jpg","фото")</f>
        <v>фото</v>
      </c>
      <c r="C1186" s="38"/>
      <c r="D1186" s="38"/>
      <c r="E1186" s="39" t="s">
        <v>1447</v>
      </c>
      <c r="F1186" s="39" t="s">
        <v>1453</v>
      </c>
      <c r="G1186" s="44">
        <v>0.2</v>
      </c>
      <c r="H1186" s="39" t="s">
        <v>101</v>
      </c>
      <c r="I1186" s="39" t="s">
        <v>102</v>
      </c>
      <c r="J1186" s="41">
        <v>4000</v>
      </c>
      <c r="K1186" s="42">
        <v>16.899999999999999</v>
      </c>
      <c r="L1186" s="43"/>
      <c r="M1186" s="43">
        <f>L1186*K1186</f>
        <v>0</v>
      </c>
      <c r="N1186" s="35">
        <v>4607015183283</v>
      </c>
    </row>
    <row r="1187" spans="1:14" ht="36" customHeight="1" outlineLevel="3" x14ac:dyDescent="0.2">
      <c r="A1187" s="45">
        <v>15106</v>
      </c>
      <c r="B1187" s="37" t="str">
        <f>HYPERLINK("http://sedek.ru/upload/iblock/182/perets_vse_nebo_v_zvezdakh_f1.jpg","фото")</f>
        <v>фото</v>
      </c>
      <c r="C1187" s="38"/>
      <c r="D1187" s="38"/>
      <c r="E1187" s="39" t="s">
        <v>1454</v>
      </c>
      <c r="F1187" s="39" t="s">
        <v>1455</v>
      </c>
      <c r="G1187" s="54">
        <v>0.05</v>
      </c>
      <c r="H1187" s="39" t="s">
        <v>101</v>
      </c>
      <c r="I1187" s="39" t="s">
        <v>102</v>
      </c>
      <c r="J1187" s="41">
        <v>5000</v>
      </c>
      <c r="K1187" s="42">
        <v>25.1</v>
      </c>
      <c r="L1187" s="43"/>
      <c r="M1187" s="43">
        <f>L1187*K1187</f>
        <v>0</v>
      </c>
      <c r="N1187" s="35">
        <v>4607116269985</v>
      </c>
    </row>
    <row r="1188" spans="1:14" ht="36" customHeight="1" outlineLevel="3" x14ac:dyDescent="0.2">
      <c r="A1188" s="45">
        <v>14028</v>
      </c>
      <c r="B1188" s="37" t="str">
        <f>HYPERLINK("http://www.sedek.ru/upload/iblock/be7/perets_galateya.jpg","фото")</f>
        <v>фото</v>
      </c>
      <c r="C1188" s="38"/>
      <c r="D1188" s="38"/>
      <c r="E1188" s="39" t="s">
        <v>1435</v>
      </c>
      <c r="F1188" s="39" t="s">
        <v>1456</v>
      </c>
      <c r="G1188" s="44">
        <v>0.2</v>
      </c>
      <c r="H1188" s="39" t="s">
        <v>101</v>
      </c>
      <c r="I1188" s="39" t="s">
        <v>102</v>
      </c>
      <c r="J1188" s="41">
        <v>4000</v>
      </c>
      <c r="K1188" s="42">
        <v>18.8</v>
      </c>
      <c r="L1188" s="43"/>
      <c r="M1188" s="43">
        <f>L1188*K1188</f>
        <v>0</v>
      </c>
      <c r="N1188" s="35">
        <v>4607015183320</v>
      </c>
    </row>
    <row r="1189" spans="1:14" ht="36" customHeight="1" outlineLevel="3" x14ac:dyDescent="0.2">
      <c r="A1189" s="36" t="s">
        <v>1457</v>
      </c>
      <c r="B1189" s="37" t="str">
        <f>HYPERLINK("http://sedek.ru/upload/iblock/603/perets_general_vrangel_f1.jpg","фото")</f>
        <v>фото</v>
      </c>
      <c r="C1189" s="38"/>
      <c r="D1189" s="38" t="s">
        <v>266</v>
      </c>
      <c r="E1189" s="39" t="s">
        <v>1417</v>
      </c>
      <c r="F1189" s="39" t="s">
        <v>1458</v>
      </c>
      <c r="G1189" s="44">
        <v>0.1</v>
      </c>
      <c r="H1189" s="39" t="s">
        <v>101</v>
      </c>
      <c r="I1189" s="39" t="s">
        <v>102</v>
      </c>
      <c r="J1189" s="41">
        <v>4000</v>
      </c>
      <c r="K1189" s="42">
        <v>96.5</v>
      </c>
      <c r="L1189" s="43"/>
      <c r="M1189" s="43">
        <f>L1189*K1189</f>
        <v>0</v>
      </c>
      <c r="N1189" s="35">
        <v>4690368030397</v>
      </c>
    </row>
    <row r="1190" spans="1:14" ht="36" customHeight="1" outlineLevel="3" x14ac:dyDescent="0.2">
      <c r="A1190" s="36" t="s">
        <v>1459</v>
      </c>
      <c r="B1190" s="37" t="str">
        <f>HYPERLINK("http://sedek.ru/upload/iblock/f2b/perets_general_denikin_f1.jpg","фото")</f>
        <v>фото</v>
      </c>
      <c r="C1190" s="38"/>
      <c r="D1190" s="38"/>
      <c r="E1190" s="39" t="s">
        <v>1417</v>
      </c>
      <c r="F1190" s="39" t="s">
        <v>1460</v>
      </c>
      <c r="G1190" s="44">
        <v>0.1</v>
      </c>
      <c r="H1190" s="39" t="s">
        <v>101</v>
      </c>
      <c r="I1190" s="39" t="s">
        <v>102</v>
      </c>
      <c r="J1190" s="41">
        <v>4000</v>
      </c>
      <c r="K1190" s="42">
        <v>96.5</v>
      </c>
      <c r="L1190" s="43"/>
      <c r="M1190" s="43">
        <f>L1190*K1190</f>
        <v>0</v>
      </c>
      <c r="N1190" s="35">
        <v>4690368027441</v>
      </c>
    </row>
    <row r="1191" spans="1:14" ht="36" customHeight="1" outlineLevel="3" x14ac:dyDescent="0.2">
      <c r="A1191" s="45">
        <v>16261</v>
      </c>
      <c r="B1191" s="37" t="str">
        <f>HYPERLINK("http://sedek.ru/upload/iblock/902/perets_glob.jpg","фото")</f>
        <v>фото</v>
      </c>
      <c r="C1191" s="38"/>
      <c r="D1191" s="38"/>
      <c r="E1191" s="39"/>
      <c r="F1191" s="39" t="s">
        <v>1461</v>
      </c>
      <c r="G1191" s="44">
        <v>0.2</v>
      </c>
      <c r="H1191" s="39" t="s">
        <v>101</v>
      </c>
      <c r="I1191" s="39" t="s">
        <v>102</v>
      </c>
      <c r="J1191" s="41">
        <v>4000</v>
      </c>
      <c r="K1191" s="42">
        <v>20.5</v>
      </c>
      <c r="L1191" s="43"/>
      <c r="M1191" s="43">
        <f>L1191*K1191</f>
        <v>0</v>
      </c>
      <c r="N1191" s="35">
        <v>4607015183344</v>
      </c>
    </row>
    <row r="1192" spans="1:14" ht="36" customHeight="1" outlineLevel="3" x14ac:dyDescent="0.2">
      <c r="A1192" s="36" t="s">
        <v>1462</v>
      </c>
      <c r="B1192" s="37" t="str">
        <f>HYPERLINK("http://sedek.ru/upload/iblock/f5f/vi98lfciig0ahtxpuh764un75xfsa4i5/perets_gogoshary_poluostryy.jpg","Фото")</f>
        <v>Фото</v>
      </c>
      <c r="C1192" s="38"/>
      <c r="D1192" s="38"/>
      <c r="E1192" s="39" t="s">
        <v>1463</v>
      </c>
      <c r="F1192" s="39" t="s">
        <v>1464</v>
      </c>
      <c r="G1192" s="44">
        <v>0.1</v>
      </c>
      <c r="H1192" s="39" t="s">
        <v>101</v>
      </c>
      <c r="I1192" s="39" t="s">
        <v>102</v>
      </c>
      <c r="J1192" s="41">
        <v>4000</v>
      </c>
      <c r="K1192" s="42">
        <v>20</v>
      </c>
      <c r="L1192" s="43"/>
      <c r="M1192" s="43">
        <f>L1192*K1192</f>
        <v>0</v>
      </c>
      <c r="N1192" s="35">
        <v>4690368030403</v>
      </c>
    </row>
    <row r="1193" spans="1:14" ht="36" customHeight="1" outlineLevel="3" x14ac:dyDescent="0.2">
      <c r="A1193" s="45">
        <v>15514</v>
      </c>
      <c r="B1193" s="37" t="str">
        <f>HYPERLINK("http://sedek.ru/upload/iblock/bd3/perets_goldfinger.jpg","фото")</f>
        <v>фото</v>
      </c>
      <c r="C1193" s="38"/>
      <c r="D1193" s="38"/>
      <c r="E1193" s="39"/>
      <c r="F1193" s="39" t="s">
        <v>1465</v>
      </c>
      <c r="G1193" s="54">
        <v>0.15</v>
      </c>
      <c r="H1193" s="39" t="s">
        <v>101</v>
      </c>
      <c r="I1193" s="39" t="s">
        <v>102</v>
      </c>
      <c r="J1193" s="41">
        <v>4000</v>
      </c>
      <c r="K1193" s="42">
        <v>20.5</v>
      </c>
      <c r="L1193" s="43"/>
      <c r="M1193" s="43">
        <f>L1193*K1193</f>
        <v>0</v>
      </c>
      <c r="N1193" s="35">
        <v>4607015183368</v>
      </c>
    </row>
    <row r="1194" spans="1:14" ht="24" customHeight="1" outlineLevel="3" x14ac:dyDescent="0.2">
      <c r="A1194" s="45">
        <v>14598</v>
      </c>
      <c r="B1194" s="37" t="str">
        <f>HYPERLINK("http://sedek.ru/upload/iblock/a1e/perets_gorgona.jpg","фото")</f>
        <v>фото</v>
      </c>
      <c r="C1194" s="38"/>
      <c r="D1194" s="38"/>
      <c r="E1194" s="39" t="s">
        <v>1447</v>
      </c>
      <c r="F1194" s="39" t="s">
        <v>1466</v>
      </c>
      <c r="G1194" s="44">
        <v>0.2</v>
      </c>
      <c r="H1194" s="39" t="s">
        <v>101</v>
      </c>
      <c r="I1194" s="39" t="s">
        <v>102</v>
      </c>
      <c r="J1194" s="41">
        <v>4000</v>
      </c>
      <c r="K1194" s="42">
        <v>20.5</v>
      </c>
      <c r="L1194" s="43"/>
      <c r="M1194" s="43">
        <f>L1194*K1194</f>
        <v>0</v>
      </c>
      <c r="N1194" s="35">
        <v>4607015183382</v>
      </c>
    </row>
    <row r="1195" spans="1:14" ht="36" customHeight="1" outlineLevel="3" x14ac:dyDescent="0.2">
      <c r="A1195" s="45">
        <v>13865</v>
      </c>
      <c r="B1195" s="37" t="str">
        <f>HYPERLINK("http://sedek.ru/upload/iblock/a74/perets_dar_kaspiya.jpg","фото")</f>
        <v>фото</v>
      </c>
      <c r="C1195" s="38"/>
      <c r="D1195" s="38"/>
      <c r="E1195" s="39"/>
      <c r="F1195" s="39" t="s">
        <v>1467</v>
      </c>
      <c r="G1195" s="44">
        <v>0.2</v>
      </c>
      <c r="H1195" s="39" t="s">
        <v>101</v>
      </c>
      <c r="I1195" s="39" t="s">
        <v>102</v>
      </c>
      <c r="J1195" s="41">
        <v>4000</v>
      </c>
      <c r="K1195" s="42">
        <v>20.5</v>
      </c>
      <c r="L1195" s="43"/>
      <c r="M1195" s="43">
        <f>L1195*K1195</f>
        <v>0</v>
      </c>
      <c r="N1195" s="35">
        <v>4607015183429</v>
      </c>
    </row>
    <row r="1196" spans="1:14" ht="36" customHeight="1" outlineLevel="3" x14ac:dyDescent="0.2">
      <c r="A1196" s="45">
        <v>14149</v>
      </c>
      <c r="B1196" s="37" t="str">
        <f>HYPERLINK("http://www.sedek.ru/upload/iblock/8ef/perets_darina.jpg","фото")</f>
        <v>фото</v>
      </c>
      <c r="C1196" s="38"/>
      <c r="D1196" s="38" t="s">
        <v>266</v>
      </c>
      <c r="E1196" s="39"/>
      <c r="F1196" s="39" t="s">
        <v>1468</v>
      </c>
      <c r="G1196" s="44">
        <v>0.2</v>
      </c>
      <c r="H1196" s="39" t="s">
        <v>101</v>
      </c>
      <c r="I1196" s="39" t="s">
        <v>102</v>
      </c>
      <c r="J1196" s="41">
        <v>4000</v>
      </c>
      <c r="K1196" s="42">
        <v>20.5</v>
      </c>
      <c r="L1196" s="43"/>
      <c r="M1196" s="43">
        <f>L1196*K1196</f>
        <v>0</v>
      </c>
      <c r="N1196" s="35">
        <v>4607116269992</v>
      </c>
    </row>
    <row r="1197" spans="1:14" ht="36" customHeight="1" outlineLevel="3" x14ac:dyDescent="0.2">
      <c r="A1197" s="45">
        <v>15626</v>
      </c>
      <c r="B1197" s="37" t="str">
        <f>HYPERLINK("http://sedek.ru/upload/iblock/48a/perets_darya.jpg","фото")</f>
        <v>фото</v>
      </c>
      <c r="C1197" s="38"/>
      <c r="D1197" s="38"/>
      <c r="E1197" s="39"/>
      <c r="F1197" s="39" t="s">
        <v>1469</v>
      </c>
      <c r="G1197" s="44">
        <v>0.2</v>
      </c>
      <c r="H1197" s="39" t="s">
        <v>101</v>
      </c>
      <c r="I1197" s="39" t="s">
        <v>102</v>
      </c>
      <c r="J1197" s="41">
        <v>4000</v>
      </c>
      <c r="K1197" s="42">
        <v>20.5</v>
      </c>
      <c r="L1197" s="43"/>
      <c r="M1197" s="43">
        <f>L1197*K1197</f>
        <v>0</v>
      </c>
      <c r="N1197" s="35">
        <v>4607015183443</v>
      </c>
    </row>
    <row r="1198" spans="1:14" ht="36" customHeight="1" outlineLevel="3" x14ac:dyDescent="0.2">
      <c r="A1198" s="46">
        <v>14046</v>
      </c>
      <c r="B1198" s="47" t="str">
        <f>HYPERLINK("http://www.sedek.ru/upload/iblock/47b/perets_dzhek.jpg","фото")</f>
        <v>фото</v>
      </c>
      <c r="C1198" s="48"/>
      <c r="D1198" s="48" t="s">
        <v>266</v>
      </c>
      <c r="E1198" s="49"/>
      <c r="F1198" s="49" t="s">
        <v>1470</v>
      </c>
      <c r="G1198" s="56">
        <v>0.1</v>
      </c>
      <c r="H1198" s="49" t="s">
        <v>101</v>
      </c>
      <c r="I1198" s="49" t="s">
        <v>102</v>
      </c>
      <c r="J1198" s="51">
        <v>4000</v>
      </c>
      <c r="K1198" s="52">
        <v>19.5</v>
      </c>
      <c r="L1198" s="53"/>
      <c r="M1198" s="53">
        <f>L1198*K1198</f>
        <v>0</v>
      </c>
      <c r="N1198" s="35">
        <v>4607015183467</v>
      </c>
    </row>
    <row r="1199" spans="1:14" ht="36" customHeight="1" outlineLevel="3" x14ac:dyDescent="0.2">
      <c r="A1199" s="45">
        <v>14824</v>
      </c>
      <c r="B1199" s="37" t="str">
        <f>HYPERLINK("http://sedek.ru/upload/iblock/e46/perets_dzhuletta_f1.jpg","фото")</f>
        <v>фото</v>
      </c>
      <c r="C1199" s="38"/>
      <c r="D1199" s="38" t="s">
        <v>266</v>
      </c>
      <c r="E1199" s="39" t="s">
        <v>1435</v>
      </c>
      <c r="F1199" s="39" t="s">
        <v>1471</v>
      </c>
      <c r="G1199" s="44">
        <v>0.1</v>
      </c>
      <c r="H1199" s="39" t="s">
        <v>101</v>
      </c>
      <c r="I1199" s="39" t="s">
        <v>102</v>
      </c>
      <c r="J1199" s="41">
        <v>4000</v>
      </c>
      <c r="K1199" s="42">
        <v>26.3</v>
      </c>
      <c r="L1199" s="43"/>
      <c r="M1199" s="43">
        <f>L1199*K1199</f>
        <v>0</v>
      </c>
      <c r="N1199" s="35">
        <v>4607015183481</v>
      </c>
    </row>
    <row r="1200" spans="1:14" ht="48" customHeight="1" outlineLevel="3" x14ac:dyDescent="0.2">
      <c r="A1200" s="45">
        <v>16252</v>
      </c>
      <c r="B1200" s="37" t="str">
        <f>HYPERLINK("http://sedek.ru/upload/iblock/eb7/perets_dinozavr_f1.jpg","фото")</f>
        <v>фото</v>
      </c>
      <c r="C1200" s="38"/>
      <c r="D1200" s="38"/>
      <c r="E1200" s="39" t="s">
        <v>1441</v>
      </c>
      <c r="F1200" s="39" t="s">
        <v>1472</v>
      </c>
      <c r="G1200" s="44">
        <v>0.1</v>
      </c>
      <c r="H1200" s="39" t="s">
        <v>101</v>
      </c>
      <c r="I1200" s="39" t="s">
        <v>102</v>
      </c>
      <c r="J1200" s="41">
        <v>4000</v>
      </c>
      <c r="K1200" s="42">
        <v>26.6</v>
      </c>
      <c r="L1200" s="43"/>
      <c r="M1200" s="43">
        <f>L1200*K1200</f>
        <v>0</v>
      </c>
      <c r="N1200" s="35">
        <v>4690368014533</v>
      </c>
    </row>
    <row r="1201" spans="1:14" ht="48" customHeight="1" outlineLevel="3" x14ac:dyDescent="0.2">
      <c r="A1201" s="36" t="s">
        <v>1473</v>
      </c>
      <c r="B1201" s="37" t="str">
        <f>HYPERLINK("http://sedek.ru/upload/iblock/819/8hl962bd2ighcx6gyhdvkokh8046vswx/perets_dlya_farshirovaniya_krasnyy_sl.png","фото")</f>
        <v>фото</v>
      </c>
      <c r="C1201" s="38"/>
      <c r="D1201" s="38" t="s">
        <v>266</v>
      </c>
      <c r="E1201" s="39"/>
      <c r="F1201" s="39" t="s">
        <v>1474</v>
      </c>
      <c r="G1201" s="44">
        <v>0.1</v>
      </c>
      <c r="H1201" s="39" t="s">
        <v>101</v>
      </c>
      <c r="I1201" s="39" t="s">
        <v>102</v>
      </c>
      <c r="J1201" s="41">
        <v>4000</v>
      </c>
      <c r="K1201" s="42">
        <v>20.5</v>
      </c>
      <c r="L1201" s="43"/>
      <c r="M1201" s="43">
        <f>L1201*K1201</f>
        <v>0</v>
      </c>
      <c r="N1201" s="35">
        <v>4690368036481</v>
      </c>
    </row>
    <row r="1202" spans="1:14" ht="36" customHeight="1" outlineLevel="3" x14ac:dyDescent="0.2">
      <c r="A1202" s="45">
        <v>13990</v>
      </c>
      <c r="B1202" s="37" t="str">
        <f>HYPERLINK("http://sedek.ru/upload/iblock/348/perets_zhanna.jpg","фото")</f>
        <v>фото</v>
      </c>
      <c r="C1202" s="38"/>
      <c r="D1202" s="38"/>
      <c r="E1202" s="39"/>
      <c r="F1202" s="39" t="s">
        <v>1475</v>
      </c>
      <c r="G1202" s="44">
        <v>0.2</v>
      </c>
      <c r="H1202" s="39" t="s">
        <v>101</v>
      </c>
      <c r="I1202" s="39" t="s">
        <v>102</v>
      </c>
      <c r="J1202" s="41">
        <v>4000</v>
      </c>
      <c r="K1202" s="42">
        <v>20.5</v>
      </c>
      <c r="L1202" s="43"/>
      <c r="M1202" s="43">
        <f>L1202*K1202</f>
        <v>0</v>
      </c>
      <c r="N1202" s="35">
        <v>4607015183528</v>
      </c>
    </row>
    <row r="1203" spans="1:14" ht="36" customHeight="1" outlineLevel="3" x14ac:dyDescent="0.2">
      <c r="A1203" s="45">
        <v>16452</v>
      </c>
      <c r="B1203" s="37" t="str">
        <f>HYPERLINK("http://sedek.ru/upload/iblock/06b/perets_zheltyy_slon.jpg","фото")</f>
        <v>фото</v>
      </c>
      <c r="C1203" s="38"/>
      <c r="D1203" s="38" t="s">
        <v>266</v>
      </c>
      <c r="E1203" s="39"/>
      <c r="F1203" s="39" t="s">
        <v>1476</v>
      </c>
      <c r="G1203" s="44">
        <v>0.1</v>
      </c>
      <c r="H1203" s="39" t="s">
        <v>101</v>
      </c>
      <c r="I1203" s="39" t="s">
        <v>102</v>
      </c>
      <c r="J1203" s="41">
        <v>4000</v>
      </c>
      <c r="K1203" s="42">
        <v>25.1</v>
      </c>
      <c r="L1203" s="43"/>
      <c r="M1203" s="43">
        <f>L1203*K1203</f>
        <v>0</v>
      </c>
      <c r="N1203" s="35">
        <v>4607149404858</v>
      </c>
    </row>
    <row r="1204" spans="1:14" ht="36" customHeight="1" outlineLevel="3" x14ac:dyDescent="0.2">
      <c r="A1204" s="45">
        <v>16240</v>
      </c>
      <c r="B1204" s="37" t="str">
        <f>HYPERLINK("http://sedek.ru/upload/iblock/2b0/perets_zvezda_vostoka_f1.jpg","фото")</f>
        <v>фото</v>
      </c>
      <c r="C1204" s="38"/>
      <c r="D1204" s="38"/>
      <c r="E1204" s="39" t="s">
        <v>1477</v>
      </c>
      <c r="F1204" s="39" t="s">
        <v>1478</v>
      </c>
      <c r="G1204" s="44">
        <v>0.1</v>
      </c>
      <c r="H1204" s="39" t="s">
        <v>101</v>
      </c>
      <c r="I1204" s="39" t="s">
        <v>102</v>
      </c>
      <c r="J1204" s="41">
        <v>4000</v>
      </c>
      <c r="K1204" s="42">
        <v>96.5</v>
      </c>
      <c r="L1204" s="43"/>
      <c r="M1204" s="43">
        <f>L1204*K1204</f>
        <v>0</v>
      </c>
      <c r="N1204" s="35">
        <v>4690368024020</v>
      </c>
    </row>
    <row r="1205" spans="1:14" ht="36" customHeight="1" outlineLevel="3" x14ac:dyDescent="0.2">
      <c r="A1205" s="45">
        <v>14481</v>
      </c>
      <c r="B1205" s="37" t="str">
        <f>HYPERLINK("http://sedek.ru/upload/iblock/76f/perets_zvezda_vostoka_belaya_f1.jpg","фото")</f>
        <v>фото</v>
      </c>
      <c r="C1205" s="38"/>
      <c r="D1205" s="38"/>
      <c r="E1205" s="39" t="s">
        <v>1477</v>
      </c>
      <c r="F1205" s="39" t="s">
        <v>1479</v>
      </c>
      <c r="G1205" s="44">
        <v>0.1</v>
      </c>
      <c r="H1205" s="39" t="s">
        <v>101</v>
      </c>
      <c r="I1205" s="39" t="s">
        <v>102</v>
      </c>
      <c r="J1205" s="41">
        <v>4000</v>
      </c>
      <c r="K1205" s="42">
        <v>96.5</v>
      </c>
      <c r="L1205" s="43"/>
      <c r="M1205" s="43">
        <f>L1205*K1205</f>
        <v>0</v>
      </c>
      <c r="N1205" s="35">
        <v>4607116269541</v>
      </c>
    </row>
    <row r="1206" spans="1:14" ht="36" customHeight="1" outlineLevel="3" x14ac:dyDescent="0.2">
      <c r="A1206" s="45">
        <v>15400</v>
      </c>
      <c r="B1206" s="37" t="str">
        <f>HYPERLINK("http://sedek.ru/upload/iblock/4d9/perets_zvezda_vostoka_belaya_v_zheltom_f1.jpg","фото")</f>
        <v>фото</v>
      </c>
      <c r="C1206" s="38"/>
      <c r="D1206" s="38" t="s">
        <v>266</v>
      </c>
      <c r="E1206" s="39" t="s">
        <v>1477</v>
      </c>
      <c r="F1206" s="39" t="s">
        <v>1480</v>
      </c>
      <c r="G1206" s="44">
        <v>0.1</v>
      </c>
      <c r="H1206" s="39" t="s">
        <v>101</v>
      </c>
      <c r="I1206" s="39" t="s">
        <v>102</v>
      </c>
      <c r="J1206" s="41">
        <v>4000</v>
      </c>
      <c r="K1206" s="42">
        <v>96.5</v>
      </c>
      <c r="L1206" s="43"/>
      <c r="M1206" s="43">
        <f>L1206*K1206</f>
        <v>0</v>
      </c>
      <c r="N1206" s="35">
        <v>4607015183665</v>
      </c>
    </row>
    <row r="1207" spans="1:14" ht="36" customHeight="1" outlineLevel="3" x14ac:dyDescent="0.2">
      <c r="A1207" s="45">
        <v>14395</v>
      </c>
      <c r="B1207" s="37" t="str">
        <f>HYPERLINK("http://sedek.ru/upload/iblock/40b/perets_zvezda_vostoka_belaya_v_krasnom_f1.jpg","фото")</f>
        <v>фото</v>
      </c>
      <c r="C1207" s="38"/>
      <c r="D1207" s="38" t="s">
        <v>266</v>
      </c>
      <c r="E1207" s="39" t="s">
        <v>1477</v>
      </c>
      <c r="F1207" s="39" t="s">
        <v>1481</v>
      </c>
      <c r="G1207" s="44">
        <v>0.1</v>
      </c>
      <c r="H1207" s="39" t="s">
        <v>101</v>
      </c>
      <c r="I1207" s="39" t="s">
        <v>102</v>
      </c>
      <c r="J1207" s="41">
        <v>4000</v>
      </c>
      <c r="K1207" s="42">
        <v>96.5</v>
      </c>
      <c r="L1207" s="43"/>
      <c r="M1207" s="43">
        <f>L1207*K1207</f>
        <v>0</v>
      </c>
      <c r="N1207" s="35">
        <v>4607015183641</v>
      </c>
    </row>
    <row r="1208" spans="1:14" ht="48" customHeight="1" outlineLevel="3" x14ac:dyDescent="0.2">
      <c r="A1208" s="36" t="s">
        <v>1482</v>
      </c>
      <c r="B1208" s="37" t="str">
        <f>HYPERLINK("http://www.sedek.ru/upload/iblock/a26/perets_zvezda_vostoka_gigantskaya_f1.jpg","фото")</f>
        <v>фото</v>
      </c>
      <c r="C1208" s="38"/>
      <c r="D1208" s="38"/>
      <c r="E1208" s="39" t="s">
        <v>1477</v>
      </c>
      <c r="F1208" s="39" t="s">
        <v>1483</v>
      </c>
      <c r="G1208" s="44">
        <v>0.1</v>
      </c>
      <c r="H1208" s="39" t="s">
        <v>101</v>
      </c>
      <c r="I1208" s="39" t="s">
        <v>102</v>
      </c>
      <c r="J1208" s="41">
        <v>4000</v>
      </c>
      <c r="K1208" s="42">
        <v>96.5</v>
      </c>
      <c r="L1208" s="43"/>
      <c r="M1208" s="43">
        <f>L1208*K1208</f>
        <v>0</v>
      </c>
      <c r="N1208" s="35">
        <v>4690368026161</v>
      </c>
    </row>
    <row r="1209" spans="1:14" ht="36" customHeight="1" outlineLevel="3" x14ac:dyDescent="0.2">
      <c r="A1209" s="45">
        <v>14048</v>
      </c>
      <c r="B1209" s="37" t="str">
        <f>HYPERLINK("http://www.sedek.ru/upload/iblock/841/perets_sladkiy_zvezda_vostoka_zheltaya_f1.jpg","фото")</f>
        <v>фото</v>
      </c>
      <c r="C1209" s="38"/>
      <c r="D1209" s="38" t="s">
        <v>266</v>
      </c>
      <c r="E1209" s="39" t="s">
        <v>1477</v>
      </c>
      <c r="F1209" s="39" t="s">
        <v>1484</v>
      </c>
      <c r="G1209" s="44">
        <v>0.1</v>
      </c>
      <c r="H1209" s="39" t="s">
        <v>101</v>
      </c>
      <c r="I1209" s="39" t="s">
        <v>102</v>
      </c>
      <c r="J1209" s="41">
        <v>4000</v>
      </c>
      <c r="K1209" s="42">
        <v>96.5</v>
      </c>
      <c r="L1209" s="43"/>
      <c r="M1209" s="43">
        <f>L1209*K1209</f>
        <v>0</v>
      </c>
      <c r="N1209" s="35">
        <v>4607015183580</v>
      </c>
    </row>
    <row r="1210" spans="1:14" ht="48" customHeight="1" outlineLevel="3" x14ac:dyDescent="0.2">
      <c r="A1210" s="36" t="s">
        <v>1485</v>
      </c>
      <c r="B1210" s="37" t="str">
        <f>HYPERLINK("http://www.sedek.ru/upload/iblock/4db/perets_zvezda_vostoka_gigantskaya_zheltaya_f1_sladkiy.jpg","Фото")</f>
        <v>Фото</v>
      </c>
      <c r="C1210" s="38"/>
      <c r="D1210" s="38" t="s">
        <v>266</v>
      </c>
      <c r="E1210" s="39" t="s">
        <v>1477</v>
      </c>
      <c r="F1210" s="39" t="s">
        <v>1486</v>
      </c>
      <c r="G1210" s="44">
        <v>0.1</v>
      </c>
      <c r="H1210" s="39" t="s">
        <v>101</v>
      </c>
      <c r="I1210" s="39" t="s">
        <v>102</v>
      </c>
      <c r="J1210" s="41">
        <v>4000</v>
      </c>
      <c r="K1210" s="42">
        <v>96.5</v>
      </c>
      <c r="L1210" s="43"/>
      <c r="M1210" s="43">
        <f>L1210*K1210</f>
        <v>0</v>
      </c>
      <c r="N1210" s="35">
        <v>4690368026260</v>
      </c>
    </row>
    <row r="1211" spans="1:14" ht="36" customHeight="1" outlineLevel="3" x14ac:dyDescent="0.2">
      <c r="A1211" s="45">
        <v>15065</v>
      </c>
      <c r="B1211" s="37" t="str">
        <f>HYPERLINK("http://sedek.ru/upload/iblock/332/perets_zvezda_vostoka_zolotistaya_f1.jpg","фото")</f>
        <v>фото</v>
      </c>
      <c r="C1211" s="38"/>
      <c r="D1211" s="38"/>
      <c r="E1211" s="39" t="s">
        <v>1477</v>
      </c>
      <c r="F1211" s="39" t="s">
        <v>1487</v>
      </c>
      <c r="G1211" s="44">
        <v>0.1</v>
      </c>
      <c r="H1211" s="39" t="s">
        <v>101</v>
      </c>
      <c r="I1211" s="39" t="s">
        <v>102</v>
      </c>
      <c r="J1211" s="41">
        <v>4000</v>
      </c>
      <c r="K1211" s="42">
        <v>96.5</v>
      </c>
      <c r="L1211" s="43"/>
      <c r="M1211" s="43">
        <f>L1211*K1211</f>
        <v>0</v>
      </c>
      <c r="N1211" s="35">
        <v>4607015183603</v>
      </c>
    </row>
    <row r="1212" spans="1:14" ht="36" customHeight="1" outlineLevel="3" x14ac:dyDescent="0.2">
      <c r="A1212" s="45">
        <v>15200</v>
      </c>
      <c r="B1212" s="37" t="str">
        <f>HYPERLINK("http://www.sedek.ru/upload/iblock/7ee/perets_sladkiy_zvezda_vostoka_krasnaya_f1.jpg","фото")</f>
        <v>фото</v>
      </c>
      <c r="C1212" s="38"/>
      <c r="D1212" s="38"/>
      <c r="E1212" s="39" t="s">
        <v>1477</v>
      </c>
      <c r="F1212" s="39" t="s">
        <v>1488</v>
      </c>
      <c r="G1212" s="44">
        <v>0.1</v>
      </c>
      <c r="H1212" s="39" t="s">
        <v>101</v>
      </c>
      <c r="I1212" s="39" t="s">
        <v>102</v>
      </c>
      <c r="J1212" s="41">
        <v>4000</v>
      </c>
      <c r="K1212" s="42">
        <v>96.5</v>
      </c>
      <c r="L1212" s="43"/>
      <c r="M1212" s="43">
        <f>L1212*K1212</f>
        <v>0</v>
      </c>
      <c r="N1212" s="35">
        <v>4607015183689</v>
      </c>
    </row>
    <row r="1213" spans="1:14" ht="48" customHeight="1" outlineLevel="3" x14ac:dyDescent="0.2">
      <c r="A1213" s="45">
        <v>16964</v>
      </c>
      <c r="B1213" s="37" t="str">
        <f>HYPERLINK("http://sedek.ru/upload/iblock/096/perets_zvezda_vostoka_gigantskaya_krasnaya_f1.jpg","фото")</f>
        <v>фото</v>
      </c>
      <c r="C1213" s="38"/>
      <c r="D1213" s="38"/>
      <c r="E1213" s="39" t="s">
        <v>1477</v>
      </c>
      <c r="F1213" s="39" t="s">
        <v>1489</v>
      </c>
      <c r="G1213" s="44">
        <v>0.1</v>
      </c>
      <c r="H1213" s="39" t="s">
        <v>101</v>
      </c>
      <c r="I1213" s="39" t="s">
        <v>102</v>
      </c>
      <c r="J1213" s="41">
        <v>4000</v>
      </c>
      <c r="K1213" s="42">
        <v>96.5</v>
      </c>
      <c r="L1213" s="43"/>
      <c r="M1213" s="43">
        <f>L1213*K1213</f>
        <v>0</v>
      </c>
      <c r="N1213" s="35">
        <v>4690368026284</v>
      </c>
    </row>
    <row r="1214" spans="1:14" ht="48" customHeight="1" outlineLevel="3" x14ac:dyDescent="0.2">
      <c r="A1214" s="45">
        <v>14779</v>
      </c>
      <c r="B1214" s="37" t="str">
        <f>HYPERLINK("http://sedek.ru/upload/iblock/f7b/perets_zvezda_vostoka_mandarinovaya_f1.jpg","фото")</f>
        <v>фото</v>
      </c>
      <c r="C1214" s="38"/>
      <c r="D1214" s="38"/>
      <c r="E1214" s="39" t="s">
        <v>1477</v>
      </c>
      <c r="F1214" s="39" t="s">
        <v>1490</v>
      </c>
      <c r="G1214" s="44">
        <v>0.1</v>
      </c>
      <c r="H1214" s="39" t="s">
        <v>101</v>
      </c>
      <c r="I1214" s="39" t="s">
        <v>102</v>
      </c>
      <c r="J1214" s="41">
        <v>4000</v>
      </c>
      <c r="K1214" s="42">
        <v>96.5</v>
      </c>
      <c r="L1214" s="43"/>
      <c r="M1214" s="43">
        <f>L1214*K1214</f>
        <v>0</v>
      </c>
      <c r="N1214" s="35">
        <v>4607015183627</v>
      </c>
    </row>
    <row r="1215" spans="1:14" ht="48" customHeight="1" outlineLevel="3" x14ac:dyDescent="0.2">
      <c r="A1215" s="45">
        <v>13494</v>
      </c>
      <c r="B1215" s="37" t="str">
        <f>HYPERLINK("http://sedek.ru/upload/iblock/d90/perets_zvezda_vostoka_oranzhevaya_f1.jpg","фото")</f>
        <v>фото</v>
      </c>
      <c r="C1215" s="38"/>
      <c r="D1215" s="38"/>
      <c r="E1215" s="39" t="s">
        <v>1477</v>
      </c>
      <c r="F1215" s="39" t="s">
        <v>1491</v>
      </c>
      <c r="G1215" s="44">
        <v>0.1</v>
      </c>
      <c r="H1215" s="39" t="s">
        <v>101</v>
      </c>
      <c r="I1215" s="39" t="s">
        <v>102</v>
      </c>
      <c r="J1215" s="41">
        <v>4000</v>
      </c>
      <c r="K1215" s="42">
        <v>96.5</v>
      </c>
      <c r="L1215" s="43"/>
      <c r="M1215" s="43">
        <f>L1215*K1215</f>
        <v>0</v>
      </c>
      <c r="N1215" s="35">
        <v>4607015183542</v>
      </c>
    </row>
    <row r="1216" spans="1:14" ht="36" customHeight="1" outlineLevel="3" x14ac:dyDescent="0.2">
      <c r="A1216" s="45">
        <v>15909</v>
      </c>
      <c r="B1216" s="37" t="str">
        <f>HYPERLINK("http://sedek.ru/upload/iblock/516/perets_zvezda_vostoka_fioletovaya_f1.jpg","фото")</f>
        <v>фото</v>
      </c>
      <c r="C1216" s="38"/>
      <c r="D1216" s="38"/>
      <c r="E1216" s="39" t="s">
        <v>1477</v>
      </c>
      <c r="F1216" s="39" t="s">
        <v>1492</v>
      </c>
      <c r="G1216" s="44">
        <v>0.1</v>
      </c>
      <c r="H1216" s="39" t="s">
        <v>101</v>
      </c>
      <c r="I1216" s="39" t="s">
        <v>102</v>
      </c>
      <c r="J1216" s="41">
        <v>4000</v>
      </c>
      <c r="K1216" s="42">
        <v>96.5</v>
      </c>
      <c r="L1216" s="43"/>
      <c r="M1216" s="43">
        <f>L1216*K1216</f>
        <v>0</v>
      </c>
      <c r="N1216" s="35">
        <v>4607015183566</v>
      </c>
    </row>
    <row r="1217" spans="1:14" ht="36" customHeight="1" outlineLevel="3" x14ac:dyDescent="0.2">
      <c r="A1217" s="36" t="s">
        <v>1493</v>
      </c>
      <c r="B1217" s="37" t="str">
        <f>HYPERLINK("http://www.sedek.ru/upload/iblock/9a2/perets_zevs_sladkiy.jpg","Фото")</f>
        <v>Фото</v>
      </c>
      <c r="C1217" s="38"/>
      <c r="D1217" s="38" t="s">
        <v>266</v>
      </c>
      <c r="E1217" s="39"/>
      <c r="F1217" s="39" t="s">
        <v>1494</v>
      </c>
      <c r="G1217" s="44">
        <v>0.1</v>
      </c>
      <c r="H1217" s="39" t="s">
        <v>101</v>
      </c>
      <c r="I1217" s="39" t="s">
        <v>102</v>
      </c>
      <c r="J1217" s="41">
        <v>4000</v>
      </c>
      <c r="K1217" s="42">
        <v>24.1</v>
      </c>
      <c r="L1217" s="43"/>
      <c r="M1217" s="43">
        <f>L1217*K1217</f>
        <v>0</v>
      </c>
      <c r="N1217" s="35">
        <v>4690368030410</v>
      </c>
    </row>
    <row r="1218" spans="1:14" ht="36" customHeight="1" outlineLevel="3" x14ac:dyDescent="0.2">
      <c r="A1218" s="36" t="s">
        <v>1495</v>
      </c>
      <c r="B1218" s="37" t="str">
        <f>HYPERLINK("http://www.sedek.ru/upload/iblock/023/perets_zlata_sladkiy.jpg","Фото")</f>
        <v>Фото</v>
      </c>
      <c r="C1218" s="38"/>
      <c r="D1218" s="38" t="s">
        <v>266</v>
      </c>
      <c r="E1218" s="39"/>
      <c r="F1218" s="39" t="s">
        <v>1496</v>
      </c>
      <c r="G1218" s="44">
        <v>0.1</v>
      </c>
      <c r="H1218" s="39" t="s">
        <v>101</v>
      </c>
      <c r="I1218" s="39" t="s">
        <v>102</v>
      </c>
      <c r="J1218" s="41">
        <v>4000</v>
      </c>
      <c r="K1218" s="42">
        <v>21</v>
      </c>
      <c r="L1218" s="43"/>
      <c r="M1218" s="43">
        <f>L1218*K1218</f>
        <v>0</v>
      </c>
      <c r="N1218" s="35">
        <v>4690368030427</v>
      </c>
    </row>
    <row r="1219" spans="1:14" ht="36" customHeight="1" outlineLevel="3" x14ac:dyDescent="0.2">
      <c r="A1219" s="45">
        <v>15152</v>
      </c>
      <c r="B1219" s="37" t="str">
        <f>HYPERLINK("http://www.sedek.ru/upload/iblock/089/perets_zmey_gorynych_f1.jpg","фото")</f>
        <v>фото</v>
      </c>
      <c r="C1219" s="38"/>
      <c r="D1219" s="38"/>
      <c r="E1219" s="39" t="s">
        <v>1447</v>
      </c>
      <c r="F1219" s="39" t="s">
        <v>1497</v>
      </c>
      <c r="G1219" s="44">
        <v>0.1</v>
      </c>
      <c r="H1219" s="39" t="s">
        <v>101</v>
      </c>
      <c r="I1219" s="39" t="s">
        <v>102</v>
      </c>
      <c r="J1219" s="41">
        <v>4000</v>
      </c>
      <c r="K1219" s="42">
        <v>22.3</v>
      </c>
      <c r="L1219" s="43"/>
      <c r="M1219" s="43">
        <f>L1219*K1219</f>
        <v>0</v>
      </c>
      <c r="N1219" s="35">
        <v>4607149400119</v>
      </c>
    </row>
    <row r="1220" spans="1:14" ht="36" customHeight="1" outlineLevel="3" x14ac:dyDescent="0.2">
      <c r="A1220" s="45">
        <v>15152</v>
      </c>
      <c r="B1220" s="37" t="str">
        <f>HYPERLINK("http://www.sedek.ru/upload/iblock/089/perets_zmey_gorynych_f1.jpg","фото")</f>
        <v>фото</v>
      </c>
      <c r="C1220" s="38"/>
      <c r="D1220" s="38"/>
      <c r="E1220" s="39" t="s">
        <v>1447</v>
      </c>
      <c r="F1220" s="39" t="s">
        <v>1498</v>
      </c>
      <c r="G1220" s="44">
        <v>0.1</v>
      </c>
      <c r="H1220" s="39" t="s">
        <v>101</v>
      </c>
      <c r="I1220" s="39" t="s">
        <v>287</v>
      </c>
      <c r="J1220" s="41">
        <v>4000</v>
      </c>
      <c r="K1220" s="42">
        <v>12.4</v>
      </c>
      <c r="L1220" s="43"/>
      <c r="M1220" s="43">
        <f>L1220*K1220</f>
        <v>0</v>
      </c>
      <c r="N1220" s="35">
        <v>4607149407323</v>
      </c>
    </row>
    <row r="1221" spans="1:14" ht="36" customHeight="1" outlineLevel="3" x14ac:dyDescent="0.2">
      <c r="A1221" s="45">
        <v>15501</v>
      </c>
      <c r="B1221" s="37" t="str">
        <f>HYPERLINK("http://www.sedek.ru/upload/iblock/41a/perets_sladkiy_zolotoe_chudo.jpg","фото")</f>
        <v>фото</v>
      </c>
      <c r="C1221" s="38"/>
      <c r="D1221" s="38"/>
      <c r="E1221" s="39"/>
      <c r="F1221" s="39" t="s">
        <v>1499</v>
      </c>
      <c r="G1221" s="44">
        <v>0.2</v>
      </c>
      <c r="H1221" s="39" t="s">
        <v>101</v>
      </c>
      <c r="I1221" s="39" t="s">
        <v>102</v>
      </c>
      <c r="J1221" s="41">
        <v>4000</v>
      </c>
      <c r="K1221" s="42">
        <v>20.5</v>
      </c>
      <c r="L1221" s="43"/>
      <c r="M1221" s="43">
        <f>L1221*K1221</f>
        <v>0</v>
      </c>
      <c r="N1221" s="35">
        <v>4607015183788</v>
      </c>
    </row>
    <row r="1222" spans="1:14" ht="24" customHeight="1" outlineLevel="3" x14ac:dyDescent="0.2">
      <c r="A1222" s="36" t="s">
        <v>1500</v>
      </c>
      <c r="B1222" s="37" t="str">
        <f>HYPERLINK("http://sedek.ru/upload/iblock/756/perets_zolotoy_lapot_f1.jpg","фото")</f>
        <v>фото</v>
      </c>
      <c r="C1222" s="38"/>
      <c r="D1222" s="38" t="s">
        <v>266</v>
      </c>
      <c r="E1222" s="39"/>
      <c r="F1222" s="39" t="s">
        <v>1501</v>
      </c>
      <c r="G1222" s="44">
        <v>0.1</v>
      </c>
      <c r="H1222" s="39" t="s">
        <v>101</v>
      </c>
      <c r="I1222" s="39" t="s">
        <v>102</v>
      </c>
      <c r="J1222" s="41">
        <v>4000</v>
      </c>
      <c r="K1222" s="42">
        <v>25.1</v>
      </c>
      <c r="L1222" s="43"/>
      <c r="M1222" s="43">
        <f>L1222*K1222</f>
        <v>0</v>
      </c>
      <c r="N1222" s="35">
        <v>4690368028660</v>
      </c>
    </row>
    <row r="1223" spans="1:14" ht="48" customHeight="1" outlineLevel="3" x14ac:dyDescent="0.2">
      <c r="A1223" s="36" t="s">
        <v>1502</v>
      </c>
      <c r="B1223" s="37" t="str">
        <f>HYPERLINK("http://sedek.ru/upload/iblock/c62/perets_zolotoy_rog.jpg","фото")</f>
        <v>фото</v>
      </c>
      <c r="C1223" s="38"/>
      <c r="D1223" s="38"/>
      <c r="E1223" s="39" t="s">
        <v>1441</v>
      </c>
      <c r="F1223" s="39" t="s">
        <v>1503</v>
      </c>
      <c r="G1223" s="54">
        <v>0.05</v>
      </c>
      <c r="H1223" s="39" t="s">
        <v>101</v>
      </c>
      <c r="I1223" s="39" t="s">
        <v>102</v>
      </c>
      <c r="J1223" s="41">
        <v>5000</v>
      </c>
      <c r="K1223" s="42">
        <v>26.6</v>
      </c>
      <c r="L1223" s="43"/>
      <c r="M1223" s="43">
        <f>L1223*K1223</f>
        <v>0</v>
      </c>
      <c r="N1223" s="35">
        <v>4607015183764</v>
      </c>
    </row>
    <row r="1224" spans="1:14" ht="36" customHeight="1" outlineLevel="3" x14ac:dyDescent="0.2">
      <c r="A1224" s="45">
        <v>16577</v>
      </c>
      <c r="B1224" s="37" t="str">
        <f>HYPERLINK("http://sedek.ru/upload/iblock/6bb/perets_zolotoy_yubiley.jpg","фото")</f>
        <v>фото</v>
      </c>
      <c r="C1224" s="38"/>
      <c r="D1224" s="38"/>
      <c r="E1224" s="39"/>
      <c r="F1224" s="39" t="s">
        <v>1504</v>
      </c>
      <c r="G1224" s="44">
        <v>0.2</v>
      </c>
      <c r="H1224" s="39" t="s">
        <v>101</v>
      </c>
      <c r="I1224" s="39" t="s">
        <v>102</v>
      </c>
      <c r="J1224" s="41">
        <v>4000</v>
      </c>
      <c r="K1224" s="42">
        <v>20.5</v>
      </c>
      <c r="L1224" s="43"/>
      <c r="M1224" s="43">
        <f>L1224*K1224</f>
        <v>0</v>
      </c>
      <c r="N1224" s="35">
        <v>4607015183801</v>
      </c>
    </row>
    <row r="1225" spans="1:14" ht="36" customHeight="1" outlineLevel="3" x14ac:dyDescent="0.2">
      <c r="A1225" s="45">
        <v>14205</v>
      </c>
      <c r="B1225" s="37" t="str">
        <f>HYPERLINK("http://sedek.ru/upload/iblock/e9c/perets_zorka.jpg","фото")</f>
        <v>фото</v>
      </c>
      <c r="C1225" s="38"/>
      <c r="D1225" s="38"/>
      <c r="E1225" s="39" t="s">
        <v>1435</v>
      </c>
      <c r="F1225" s="39" t="s">
        <v>1505</v>
      </c>
      <c r="G1225" s="44">
        <v>0.2</v>
      </c>
      <c r="H1225" s="39" t="s">
        <v>101</v>
      </c>
      <c r="I1225" s="39" t="s">
        <v>102</v>
      </c>
      <c r="J1225" s="41">
        <v>4000</v>
      </c>
      <c r="K1225" s="42">
        <v>22.7</v>
      </c>
      <c r="L1225" s="43"/>
      <c r="M1225" s="43">
        <f>L1225*K1225</f>
        <v>0</v>
      </c>
      <c r="N1225" s="35">
        <v>4607015183825</v>
      </c>
    </row>
    <row r="1226" spans="1:14" ht="36" customHeight="1" outlineLevel="3" x14ac:dyDescent="0.2">
      <c r="A1226" s="45">
        <v>15120</v>
      </c>
      <c r="B1226" s="37" t="str">
        <f>HYPERLINK("http://sedek.ru/upload/iblock/c46/perets_igrok.jpg","фото")</f>
        <v>фото</v>
      </c>
      <c r="C1226" s="38"/>
      <c r="D1226" s="38"/>
      <c r="E1226" s="39" t="s">
        <v>1435</v>
      </c>
      <c r="F1226" s="39" t="s">
        <v>1506</v>
      </c>
      <c r="G1226" s="44">
        <v>0.1</v>
      </c>
      <c r="H1226" s="39"/>
      <c r="I1226" s="39" t="s">
        <v>102</v>
      </c>
      <c r="J1226" s="41">
        <v>4000</v>
      </c>
      <c r="K1226" s="42">
        <v>25.3</v>
      </c>
      <c r="L1226" s="43"/>
      <c r="M1226" s="43">
        <f>L1226*K1226</f>
        <v>0</v>
      </c>
      <c r="N1226" s="35">
        <v>4607015183849</v>
      </c>
    </row>
    <row r="1227" spans="1:14" ht="36" customHeight="1" outlineLevel="3" x14ac:dyDescent="0.2">
      <c r="A1227" s="45">
        <v>15120</v>
      </c>
      <c r="B1227" s="37" t="str">
        <f>HYPERLINK("http://sedek.ru/upload/iblock/c46/perets_igrok.jpg","фото")</f>
        <v>фото</v>
      </c>
      <c r="C1227" s="38"/>
      <c r="D1227" s="38"/>
      <c r="E1227" s="39" t="s">
        <v>1435</v>
      </c>
      <c r="F1227" s="39" t="s">
        <v>1507</v>
      </c>
      <c r="G1227" s="44">
        <v>0.2</v>
      </c>
      <c r="H1227" s="39" t="s">
        <v>101</v>
      </c>
      <c r="I1227" s="39" t="s">
        <v>287</v>
      </c>
      <c r="J1227" s="41">
        <v>4000</v>
      </c>
      <c r="K1227" s="42">
        <v>11.3</v>
      </c>
      <c r="L1227" s="43"/>
      <c r="M1227" s="43">
        <f>L1227*K1227</f>
        <v>0</v>
      </c>
      <c r="N1227" s="35">
        <v>4607149408443</v>
      </c>
    </row>
    <row r="1228" spans="1:14" ht="36" customHeight="1" outlineLevel="3" x14ac:dyDescent="0.2">
      <c r="A1228" s="45">
        <v>13626</v>
      </c>
      <c r="B1228" s="37" t="str">
        <f>HYPERLINK("http://sedek.ru/upload/iblock/b2d/perets_iolanta.jpg","фото")</f>
        <v>фото</v>
      </c>
      <c r="C1228" s="38"/>
      <c r="D1228" s="38" t="s">
        <v>266</v>
      </c>
      <c r="E1228" s="39"/>
      <c r="F1228" s="39" t="s">
        <v>1508</v>
      </c>
      <c r="G1228" s="44">
        <v>0.2</v>
      </c>
      <c r="H1228" s="39" t="s">
        <v>101</v>
      </c>
      <c r="I1228" s="39" t="s">
        <v>102</v>
      </c>
      <c r="J1228" s="41">
        <v>4000</v>
      </c>
      <c r="K1228" s="42">
        <v>20.5</v>
      </c>
      <c r="L1228" s="43"/>
      <c r="M1228" s="43">
        <f>L1228*K1228</f>
        <v>0</v>
      </c>
      <c r="N1228" s="35">
        <v>4607015183863</v>
      </c>
    </row>
    <row r="1229" spans="1:14" ht="36" customHeight="1" outlineLevel="3" x14ac:dyDescent="0.2">
      <c r="A1229" s="45">
        <v>13608</v>
      </c>
      <c r="B1229" s="37" t="str">
        <f>HYPERLINK("http://sedek.ru/upload/iblock/5a5/perets_irina_sedek.jpg","фото")</f>
        <v>фото</v>
      </c>
      <c r="C1229" s="38"/>
      <c r="D1229" s="38" t="s">
        <v>266</v>
      </c>
      <c r="E1229" s="39"/>
      <c r="F1229" s="39" t="s">
        <v>1509</v>
      </c>
      <c r="G1229" s="44">
        <v>0.2</v>
      </c>
      <c r="H1229" s="39" t="s">
        <v>101</v>
      </c>
      <c r="I1229" s="39" t="s">
        <v>102</v>
      </c>
      <c r="J1229" s="41">
        <v>4000</v>
      </c>
      <c r="K1229" s="42">
        <v>19.5</v>
      </c>
      <c r="L1229" s="43"/>
      <c r="M1229" s="43">
        <f>L1229*K1229</f>
        <v>0</v>
      </c>
      <c r="N1229" s="35">
        <v>4690368016964</v>
      </c>
    </row>
    <row r="1230" spans="1:14" ht="24" customHeight="1" outlineLevel="3" x14ac:dyDescent="0.2">
      <c r="A1230" s="36" t="s">
        <v>1510</v>
      </c>
      <c r="B1230" s="37" t="str">
        <f>HYPERLINK("http://www.sedek.ru/upload/iblock/311/perets_iskry.jpg","фото")</f>
        <v>фото</v>
      </c>
      <c r="C1230" s="38"/>
      <c r="D1230" s="38" t="s">
        <v>266</v>
      </c>
      <c r="E1230" s="39" t="s">
        <v>1454</v>
      </c>
      <c r="F1230" s="39" t="s">
        <v>1511</v>
      </c>
      <c r="G1230" s="44">
        <v>0.1</v>
      </c>
      <c r="H1230" s="39" t="s">
        <v>101</v>
      </c>
      <c r="I1230" s="39" t="s">
        <v>102</v>
      </c>
      <c r="J1230" s="41">
        <v>5000</v>
      </c>
      <c r="K1230" s="42">
        <v>26.6</v>
      </c>
      <c r="L1230" s="43"/>
      <c r="M1230" s="43">
        <f>L1230*K1230</f>
        <v>0</v>
      </c>
      <c r="N1230" s="35">
        <v>4690368037129</v>
      </c>
    </row>
    <row r="1231" spans="1:14" ht="36" customHeight="1" outlineLevel="3" x14ac:dyDescent="0.2">
      <c r="A1231" s="45">
        <v>15674</v>
      </c>
      <c r="B1231" s="37" t="str">
        <f>HYPERLINK("http://sedek.ru/upload/iblock/c3f/perets_ispanskiy_sladkiy.jpg","фото")</f>
        <v>фото</v>
      </c>
      <c r="C1231" s="38"/>
      <c r="D1231" s="38"/>
      <c r="E1231" s="39"/>
      <c r="F1231" s="39" t="s">
        <v>1512</v>
      </c>
      <c r="G1231" s="44">
        <v>0.2</v>
      </c>
      <c r="H1231" s="39" t="s">
        <v>101</v>
      </c>
      <c r="I1231" s="39" t="s">
        <v>102</v>
      </c>
      <c r="J1231" s="41">
        <v>4000</v>
      </c>
      <c r="K1231" s="42">
        <v>25.3</v>
      </c>
      <c r="L1231" s="43"/>
      <c r="M1231" s="43">
        <f>L1231*K1231</f>
        <v>0</v>
      </c>
      <c r="N1231" s="35">
        <v>4607015183900</v>
      </c>
    </row>
    <row r="1232" spans="1:14" ht="36" customHeight="1" outlineLevel="3" x14ac:dyDescent="0.2">
      <c r="A1232" s="36" t="s">
        <v>1513</v>
      </c>
      <c r="B1232" s="37" t="str">
        <f>HYPERLINK("http://www.sedek.ru/upload/iblock/d21/perets_kayenskiy_klassicheskiy.jpg","фото")</f>
        <v>фото</v>
      </c>
      <c r="C1232" s="38"/>
      <c r="D1232" s="38"/>
      <c r="E1232" s="39" t="s">
        <v>1447</v>
      </c>
      <c r="F1232" s="39" t="s">
        <v>1514</v>
      </c>
      <c r="G1232" s="44">
        <v>0.1</v>
      </c>
      <c r="H1232" s="39" t="s">
        <v>101</v>
      </c>
      <c r="I1232" s="39" t="s">
        <v>102</v>
      </c>
      <c r="J1232" s="41">
        <v>4000</v>
      </c>
      <c r="K1232" s="42">
        <v>22.3</v>
      </c>
      <c r="L1232" s="43"/>
      <c r="M1232" s="43">
        <f>L1232*K1232</f>
        <v>0</v>
      </c>
      <c r="N1232" s="35">
        <v>4690368036436</v>
      </c>
    </row>
    <row r="1233" spans="1:14" ht="36" customHeight="1" outlineLevel="3" x14ac:dyDescent="0.2">
      <c r="A1233" s="45">
        <v>14542</v>
      </c>
      <c r="B1233" s="37" t="str">
        <f>HYPERLINK("http://www.sedek.ru/upload/iblock/52c/perets_kaliforniyskoe_chudo.jpg","фото")</f>
        <v>фото</v>
      </c>
      <c r="C1233" s="38"/>
      <c r="D1233" s="38"/>
      <c r="E1233" s="39"/>
      <c r="F1233" s="39" t="s">
        <v>1515</v>
      </c>
      <c r="G1233" s="44">
        <v>0.2</v>
      </c>
      <c r="H1233" s="39" t="s">
        <v>101</v>
      </c>
      <c r="I1233" s="39" t="s">
        <v>102</v>
      </c>
      <c r="J1233" s="41">
        <v>4000</v>
      </c>
      <c r="K1233" s="42">
        <v>15.6</v>
      </c>
      <c r="L1233" s="43"/>
      <c r="M1233" s="43">
        <f>L1233*K1233</f>
        <v>0</v>
      </c>
      <c r="N1233" s="35">
        <v>4607015183924</v>
      </c>
    </row>
    <row r="1234" spans="1:14" ht="36" customHeight="1" outlineLevel="3" x14ac:dyDescent="0.2">
      <c r="A1234" s="36" t="s">
        <v>1516</v>
      </c>
      <c r="B1234" s="37" t="str">
        <f>HYPERLINK("http://www.sedek.ru/upload/iblock/6dc/kaliforniyskoe_chudo_zolotoe.jpg","фото")</f>
        <v>фото</v>
      </c>
      <c r="C1234" s="38"/>
      <c r="D1234" s="38"/>
      <c r="E1234" s="39"/>
      <c r="F1234" s="39" t="s">
        <v>1517</v>
      </c>
      <c r="G1234" s="44">
        <v>0.2</v>
      </c>
      <c r="H1234" s="39" t="s">
        <v>101</v>
      </c>
      <c r="I1234" s="39" t="s">
        <v>102</v>
      </c>
      <c r="J1234" s="41">
        <v>4000</v>
      </c>
      <c r="K1234" s="42">
        <v>18.8</v>
      </c>
      <c r="L1234" s="43"/>
      <c r="M1234" s="43">
        <f>L1234*K1234</f>
        <v>0</v>
      </c>
      <c r="N1234" s="35">
        <v>4690368031455</v>
      </c>
    </row>
    <row r="1235" spans="1:14" ht="48" customHeight="1" outlineLevel="3" x14ac:dyDescent="0.2">
      <c r="A1235" s="36" t="s">
        <v>1518</v>
      </c>
      <c r="B1235" s="37" t="str">
        <f>HYPERLINK("http://www.sedek.ru/upload/iblock/b69/perets_kaliforniyskoe_chudo_fioletovoe_f1_sl.jpg","фото")</f>
        <v>фото</v>
      </c>
      <c r="C1235" s="38"/>
      <c r="D1235" s="38"/>
      <c r="E1235" s="39"/>
      <c r="F1235" s="39" t="s">
        <v>1519</v>
      </c>
      <c r="G1235" s="44">
        <v>0.1</v>
      </c>
      <c r="H1235" s="39" t="s">
        <v>101</v>
      </c>
      <c r="I1235" s="39" t="s">
        <v>102</v>
      </c>
      <c r="J1235" s="41">
        <v>4000</v>
      </c>
      <c r="K1235" s="42">
        <v>20.100000000000001</v>
      </c>
      <c r="L1235" s="43"/>
      <c r="M1235" s="43">
        <f>L1235*K1235</f>
        <v>0</v>
      </c>
      <c r="N1235" s="35">
        <v>4690368033435</v>
      </c>
    </row>
    <row r="1236" spans="1:14" ht="36" customHeight="1" outlineLevel="3" x14ac:dyDescent="0.2">
      <c r="A1236" s="45">
        <v>16389</v>
      </c>
      <c r="B1236" s="37" t="str">
        <f>HYPERLINK("http://sedek.ru/upload/iblock/9b4/perets_kaliforniya_vonder_gold.jpg","фото")</f>
        <v>фото</v>
      </c>
      <c r="C1236" s="38"/>
      <c r="D1236" s="38"/>
      <c r="E1236" s="39"/>
      <c r="F1236" s="39" t="s">
        <v>1520</v>
      </c>
      <c r="G1236" s="44">
        <v>0.2</v>
      </c>
      <c r="H1236" s="39" t="s">
        <v>101</v>
      </c>
      <c r="I1236" s="39" t="s">
        <v>102</v>
      </c>
      <c r="J1236" s="41">
        <v>4000</v>
      </c>
      <c r="K1236" s="42">
        <v>20</v>
      </c>
      <c r="L1236" s="43"/>
      <c r="M1236" s="43">
        <f>L1236*K1236</f>
        <v>0</v>
      </c>
      <c r="N1236" s="35">
        <v>4607015183948</v>
      </c>
    </row>
    <row r="1237" spans="1:14" ht="36" customHeight="1" outlineLevel="3" x14ac:dyDescent="0.2">
      <c r="A1237" s="45">
        <v>16329</v>
      </c>
      <c r="B1237" s="37" t="str">
        <f>HYPERLINK("http://sedek.ru/upload/iblock/780/perets_kaliforniya_vonder_red.JPG","фото")</f>
        <v>фото</v>
      </c>
      <c r="C1237" s="38"/>
      <c r="D1237" s="38"/>
      <c r="E1237" s="39"/>
      <c r="F1237" s="39" t="s">
        <v>1521</v>
      </c>
      <c r="G1237" s="44">
        <v>0.2</v>
      </c>
      <c r="H1237" s="39" t="s">
        <v>101</v>
      </c>
      <c r="I1237" s="39" t="s">
        <v>102</v>
      </c>
      <c r="J1237" s="41">
        <v>4000</v>
      </c>
      <c r="K1237" s="42">
        <v>20</v>
      </c>
      <c r="L1237" s="43"/>
      <c r="M1237" s="43">
        <f>L1237*K1237</f>
        <v>0</v>
      </c>
      <c r="N1237" s="35">
        <v>4607015183962</v>
      </c>
    </row>
    <row r="1238" spans="1:14" ht="36" customHeight="1" outlineLevel="3" x14ac:dyDescent="0.2">
      <c r="A1238" s="45">
        <v>16329</v>
      </c>
      <c r="B1238" s="37" t="str">
        <f>HYPERLINK("http://sedek.ru/upload/iblock/780/perets_kaliforniya_vonder_red.JPG","фото")</f>
        <v>фото</v>
      </c>
      <c r="C1238" s="38"/>
      <c r="D1238" s="38"/>
      <c r="E1238" s="39"/>
      <c r="F1238" s="39" t="s">
        <v>1522</v>
      </c>
      <c r="G1238" s="44">
        <v>0.2</v>
      </c>
      <c r="H1238" s="39" t="s">
        <v>101</v>
      </c>
      <c r="I1238" s="39" t="s">
        <v>287</v>
      </c>
      <c r="J1238" s="41">
        <v>4000</v>
      </c>
      <c r="K1238" s="42">
        <v>8</v>
      </c>
      <c r="L1238" s="43"/>
      <c r="M1238" s="43">
        <f>L1238*K1238</f>
        <v>0</v>
      </c>
      <c r="N1238" s="35">
        <v>4607149409754</v>
      </c>
    </row>
    <row r="1239" spans="1:14" ht="24" customHeight="1" outlineLevel="3" x14ac:dyDescent="0.2">
      <c r="A1239" s="45">
        <v>15241</v>
      </c>
      <c r="B1239" s="37" t="str">
        <f>HYPERLINK("http://sedek.ru/upload/iblock/730/perets_kantsler_f1.jpg","фото")</f>
        <v>фото</v>
      </c>
      <c r="C1239" s="38"/>
      <c r="D1239" s="38"/>
      <c r="E1239" s="39"/>
      <c r="F1239" s="39" t="s">
        <v>1523</v>
      </c>
      <c r="G1239" s="44">
        <v>0.3</v>
      </c>
      <c r="H1239" s="39" t="s">
        <v>101</v>
      </c>
      <c r="I1239" s="39" t="s">
        <v>102</v>
      </c>
      <c r="J1239" s="41">
        <v>3000</v>
      </c>
      <c r="K1239" s="42">
        <v>19.100000000000001</v>
      </c>
      <c r="L1239" s="43"/>
      <c r="M1239" s="43">
        <f>L1239*K1239</f>
        <v>0</v>
      </c>
      <c r="N1239" s="35">
        <v>4607015184006</v>
      </c>
    </row>
    <row r="1240" spans="1:14" ht="36" customHeight="1" outlineLevel="3" x14ac:dyDescent="0.2">
      <c r="A1240" s="45">
        <v>16552</v>
      </c>
      <c r="B1240" s="37" t="str">
        <f>HYPERLINK("http://sedek.ru/upload/iblock/547/perets_karamelnye_palochki_f1.jpg","фото")</f>
        <v>фото</v>
      </c>
      <c r="C1240" s="38"/>
      <c r="D1240" s="38" t="s">
        <v>266</v>
      </c>
      <c r="E1240" s="39"/>
      <c r="F1240" s="39" t="s">
        <v>1524</v>
      </c>
      <c r="G1240" s="44">
        <v>0.1</v>
      </c>
      <c r="H1240" s="39" t="s">
        <v>101</v>
      </c>
      <c r="I1240" s="39" t="s">
        <v>102</v>
      </c>
      <c r="J1240" s="41">
        <v>4000</v>
      </c>
      <c r="K1240" s="42">
        <v>20</v>
      </c>
      <c r="L1240" s="43"/>
      <c r="M1240" s="43">
        <f>L1240*K1240</f>
        <v>0</v>
      </c>
      <c r="N1240" s="35">
        <v>4690368022095</v>
      </c>
    </row>
    <row r="1241" spans="1:14" ht="36" customHeight="1" outlineLevel="3" x14ac:dyDescent="0.2">
      <c r="A1241" s="45">
        <v>14679</v>
      </c>
      <c r="B1241" s="37" t="str">
        <f>HYPERLINK("http://sedek.ru/upload/iblock/1a4/perets_karapuz.JPG","фото")</f>
        <v>фото</v>
      </c>
      <c r="C1241" s="38"/>
      <c r="D1241" s="38"/>
      <c r="E1241" s="39"/>
      <c r="F1241" s="39" t="s">
        <v>1525</v>
      </c>
      <c r="G1241" s="44">
        <v>0.2</v>
      </c>
      <c r="H1241" s="39" t="s">
        <v>101</v>
      </c>
      <c r="I1241" s="39" t="s">
        <v>102</v>
      </c>
      <c r="J1241" s="41">
        <v>4000</v>
      </c>
      <c r="K1241" s="42">
        <v>20</v>
      </c>
      <c r="L1241" s="43"/>
      <c r="M1241" s="43">
        <f>L1241*K1241</f>
        <v>0</v>
      </c>
      <c r="N1241" s="35">
        <v>4607015184020</v>
      </c>
    </row>
    <row r="1242" spans="1:14" ht="36" customHeight="1" outlineLevel="3" x14ac:dyDescent="0.2">
      <c r="A1242" s="45">
        <v>14679</v>
      </c>
      <c r="B1242" s="37" t="str">
        <f>HYPERLINK("http://sedek.ru/upload/iblock/1a4/perets_karapuz.JPG","фото")</f>
        <v>фото</v>
      </c>
      <c r="C1242" s="38"/>
      <c r="D1242" s="38"/>
      <c r="E1242" s="39"/>
      <c r="F1242" s="39" t="s">
        <v>1526</v>
      </c>
      <c r="G1242" s="44">
        <v>0.2</v>
      </c>
      <c r="H1242" s="39" t="s">
        <v>101</v>
      </c>
      <c r="I1242" s="39" t="s">
        <v>287</v>
      </c>
      <c r="J1242" s="41">
        <v>4000</v>
      </c>
      <c r="K1242" s="42">
        <v>7.9</v>
      </c>
      <c r="L1242" s="43"/>
      <c r="M1242" s="43">
        <f>L1242*K1242</f>
        <v>0</v>
      </c>
      <c r="N1242" s="35">
        <v>4690368006316</v>
      </c>
    </row>
    <row r="1243" spans="1:14" ht="36" customHeight="1" outlineLevel="3" x14ac:dyDescent="0.2">
      <c r="A1243" s="45">
        <v>13568</v>
      </c>
      <c r="B1243" s="37" t="str">
        <f>HYPERLINK("http://sedek.ru/upload/iblock/a86/perets_karlson_f1.jpg","фото")</f>
        <v>фото</v>
      </c>
      <c r="C1243" s="38"/>
      <c r="D1243" s="38"/>
      <c r="E1243" s="39"/>
      <c r="F1243" s="39" t="s">
        <v>1527</v>
      </c>
      <c r="G1243" s="44">
        <v>0.1</v>
      </c>
      <c r="H1243" s="39" t="s">
        <v>101</v>
      </c>
      <c r="I1243" s="39" t="s">
        <v>102</v>
      </c>
      <c r="J1243" s="41">
        <v>4000</v>
      </c>
      <c r="K1243" s="42">
        <v>23.8</v>
      </c>
      <c r="L1243" s="43"/>
      <c r="M1243" s="43">
        <f>L1243*K1243</f>
        <v>0</v>
      </c>
      <c r="N1243" s="35">
        <v>4690368010917</v>
      </c>
    </row>
    <row r="1244" spans="1:14" ht="36" customHeight="1" outlineLevel="3" x14ac:dyDescent="0.2">
      <c r="A1244" s="36" t="s">
        <v>1528</v>
      </c>
      <c r="B1244" s="37" t="str">
        <f>HYPERLINK("http://www.sedek.ru/upload/iblock/5fa/perets_kirill.jpg","фото")</f>
        <v>фото</v>
      </c>
      <c r="C1244" s="38"/>
      <c r="D1244" s="38"/>
      <c r="E1244" s="39"/>
      <c r="F1244" s="39" t="s">
        <v>1529</v>
      </c>
      <c r="G1244" s="44">
        <v>0.1</v>
      </c>
      <c r="H1244" s="39" t="s">
        <v>101</v>
      </c>
      <c r="I1244" s="39" t="s">
        <v>102</v>
      </c>
      <c r="J1244" s="41">
        <v>4000</v>
      </c>
      <c r="K1244" s="42">
        <v>20</v>
      </c>
      <c r="L1244" s="43"/>
      <c r="M1244" s="43">
        <f>L1244*K1244</f>
        <v>0</v>
      </c>
      <c r="N1244" s="35">
        <v>4690368033794</v>
      </c>
    </row>
    <row r="1245" spans="1:14" ht="36" customHeight="1" outlineLevel="3" x14ac:dyDescent="0.2">
      <c r="A1245" s="45">
        <v>14153</v>
      </c>
      <c r="B1245" s="37" t="str">
        <f>HYPERLINK("http://sedek.ru/upload/iblock/923/perets_kitayskiy_ogon_f1.jpg","фото")</f>
        <v>фото</v>
      </c>
      <c r="C1245" s="38"/>
      <c r="D1245" s="38"/>
      <c r="E1245" s="39" t="s">
        <v>1447</v>
      </c>
      <c r="F1245" s="39" t="s">
        <v>1530</v>
      </c>
      <c r="G1245" s="44">
        <v>0.1</v>
      </c>
      <c r="H1245" s="39" t="s">
        <v>101</v>
      </c>
      <c r="I1245" s="39" t="s">
        <v>102</v>
      </c>
      <c r="J1245" s="41">
        <v>4000</v>
      </c>
      <c r="K1245" s="42">
        <v>24.5</v>
      </c>
      <c r="L1245" s="43"/>
      <c r="M1245" s="43">
        <f>L1245*K1245</f>
        <v>0</v>
      </c>
      <c r="N1245" s="35">
        <v>4607116267479</v>
      </c>
    </row>
    <row r="1246" spans="1:14" ht="36" customHeight="1" outlineLevel="3" x14ac:dyDescent="0.2">
      <c r="A1246" s="45">
        <v>15850</v>
      </c>
      <c r="B1246" s="37" t="str">
        <f>HYPERLINK("http://sedek.ru/upload/iblock/95b/perets_kitayskiy_fonarik.jpg","фото")</f>
        <v>фото</v>
      </c>
      <c r="C1246" s="38"/>
      <c r="D1246" s="38"/>
      <c r="E1246" s="39"/>
      <c r="F1246" s="39" t="s">
        <v>1531</v>
      </c>
      <c r="G1246" s="44">
        <v>0.2</v>
      </c>
      <c r="H1246" s="39" t="s">
        <v>101</v>
      </c>
      <c r="I1246" s="39" t="s">
        <v>287</v>
      </c>
      <c r="J1246" s="41">
        <v>4000</v>
      </c>
      <c r="K1246" s="42">
        <v>7.3</v>
      </c>
      <c r="L1246" s="43"/>
      <c r="M1246" s="43">
        <f>L1246*K1246</f>
        <v>0</v>
      </c>
      <c r="N1246" s="35">
        <v>4690368013147</v>
      </c>
    </row>
    <row r="1247" spans="1:14" ht="36" customHeight="1" outlineLevel="3" x14ac:dyDescent="0.2">
      <c r="A1247" s="36" t="s">
        <v>1532</v>
      </c>
      <c r="B1247" s="37" t="str">
        <f>HYPERLINK("http://www.sedek.ru/upload/iblock/050/perets_klayd_f1.jpg","фото")</f>
        <v>фото</v>
      </c>
      <c r="C1247" s="38" t="s">
        <v>266</v>
      </c>
      <c r="D1247" s="38"/>
      <c r="E1247" s="39" t="s">
        <v>1447</v>
      </c>
      <c r="F1247" s="39" t="s">
        <v>1533</v>
      </c>
      <c r="G1247" s="44">
        <v>0.1</v>
      </c>
      <c r="H1247" s="39" t="s">
        <v>101</v>
      </c>
      <c r="I1247" s="39" t="s">
        <v>102</v>
      </c>
      <c r="J1247" s="41">
        <v>4000</v>
      </c>
      <c r="K1247" s="42">
        <v>41.7</v>
      </c>
      <c r="L1247" s="43"/>
      <c r="M1247" s="43">
        <f>L1247*K1247</f>
        <v>0</v>
      </c>
      <c r="N1247" s="35">
        <v>4690368037242</v>
      </c>
    </row>
    <row r="1248" spans="1:14" ht="36" customHeight="1" outlineLevel="3" x14ac:dyDescent="0.2">
      <c r="A1248" s="45">
        <v>16411</v>
      </c>
      <c r="B1248" s="37" t="str">
        <f>HYPERLINK("http://sedek.ru/upload/iblock/9f0/perets_klyuv_sokola.jpg","фото")</f>
        <v>фото</v>
      </c>
      <c r="C1248" s="38"/>
      <c r="D1248" s="38"/>
      <c r="E1248" s="39" t="s">
        <v>1447</v>
      </c>
      <c r="F1248" s="39" t="s">
        <v>1534</v>
      </c>
      <c r="G1248" s="44">
        <v>0.2</v>
      </c>
      <c r="H1248" s="39" t="s">
        <v>101</v>
      </c>
      <c r="I1248" s="39" t="s">
        <v>102</v>
      </c>
      <c r="J1248" s="41">
        <v>4000</v>
      </c>
      <c r="K1248" s="42">
        <v>20</v>
      </c>
      <c r="L1248" s="43"/>
      <c r="M1248" s="43">
        <f>L1248*K1248</f>
        <v>0</v>
      </c>
      <c r="N1248" s="35">
        <v>4607149400096</v>
      </c>
    </row>
    <row r="1249" spans="1:14" ht="36" customHeight="1" outlineLevel="3" x14ac:dyDescent="0.2">
      <c r="A1249" s="45">
        <v>16411</v>
      </c>
      <c r="B1249" s="37" t="str">
        <f>HYPERLINK("http://sedek.ru/upload/iblock/9f0/perets_klyuv_sokola.jpg","фото")</f>
        <v>фото</v>
      </c>
      <c r="C1249" s="38"/>
      <c r="D1249" s="38"/>
      <c r="E1249" s="39" t="s">
        <v>1447</v>
      </c>
      <c r="F1249" s="39" t="s">
        <v>1535</v>
      </c>
      <c r="G1249" s="44">
        <v>0.2</v>
      </c>
      <c r="H1249" s="39" t="s">
        <v>101</v>
      </c>
      <c r="I1249" s="39" t="s">
        <v>287</v>
      </c>
      <c r="J1249" s="41">
        <v>4000</v>
      </c>
      <c r="K1249" s="42">
        <v>7.8</v>
      </c>
      <c r="L1249" s="43"/>
      <c r="M1249" s="43">
        <f>L1249*K1249</f>
        <v>0</v>
      </c>
      <c r="N1249" s="35">
        <v>4607149402557</v>
      </c>
    </row>
    <row r="1250" spans="1:14" ht="36" customHeight="1" outlineLevel="3" x14ac:dyDescent="0.2">
      <c r="A1250" s="45">
        <v>14281</v>
      </c>
      <c r="B1250" s="37" t="str">
        <f>HYPERLINK("http://www.sedek.ru/upload/iblock/eef/perets_knyaz_igor_f1.jpg","фото")</f>
        <v>фото</v>
      </c>
      <c r="C1250" s="38"/>
      <c r="D1250" s="38"/>
      <c r="E1250" s="39"/>
      <c r="F1250" s="39" t="s">
        <v>1536</v>
      </c>
      <c r="G1250" s="44">
        <v>0.2</v>
      </c>
      <c r="H1250" s="39" t="s">
        <v>101</v>
      </c>
      <c r="I1250" s="39" t="s">
        <v>102</v>
      </c>
      <c r="J1250" s="41">
        <v>4000</v>
      </c>
      <c r="K1250" s="42">
        <v>25.3</v>
      </c>
      <c r="L1250" s="43"/>
      <c r="M1250" s="43">
        <f>L1250*K1250</f>
        <v>0</v>
      </c>
      <c r="N1250" s="35">
        <v>4607015184082</v>
      </c>
    </row>
    <row r="1251" spans="1:14" ht="36" customHeight="1" outlineLevel="3" x14ac:dyDescent="0.2">
      <c r="A1251" s="45">
        <v>14281</v>
      </c>
      <c r="B1251" s="37" t="str">
        <f>HYPERLINK("http://www.sedek.ru/upload/iblock/eef/perets_knyaz_igor_f1.jpg","фото")</f>
        <v>фото</v>
      </c>
      <c r="C1251" s="38"/>
      <c r="D1251" s="38"/>
      <c r="E1251" s="39"/>
      <c r="F1251" s="39" t="s">
        <v>1537</v>
      </c>
      <c r="G1251" s="44">
        <v>0.2</v>
      </c>
      <c r="H1251" s="39" t="s">
        <v>101</v>
      </c>
      <c r="I1251" s="39" t="s">
        <v>287</v>
      </c>
      <c r="J1251" s="41">
        <v>4000</v>
      </c>
      <c r="K1251" s="42">
        <v>12.4</v>
      </c>
      <c r="L1251" s="43"/>
      <c r="M1251" s="43">
        <f>L1251*K1251</f>
        <v>0</v>
      </c>
      <c r="N1251" s="35">
        <v>4607149405664</v>
      </c>
    </row>
    <row r="1252" spans="1:14" ht="36" customHeight="1" outlineLevel="3" x14ac:dyDescent="0.2">
      <c r="A1252" s="46">
        <v>14347</v>
      </c>
      <c r="B1252" s="47" t="str">
        <f>HYPERLINK("http://www.sedek.ru/upload/iblock/61f/perets_kolobok.jpg","фото")</f>
        <v>фото</v>
      </c>
      <c r="C1252" s="48"/>
      <c r="D1252" s="48"/>
      <c r="E1252" s="49"/>
      <c r="F1252" s="49" t="s">
        <v>1538</v>
      </c>
      <c r="G1252" s="56">
        <v>0.2</v>
      </c>
      <c r="H1252" s="49" t="s">
        <v>101</v>
      </c>
      <c r="I1252" s="49" t="s">
        <v>102</v>
      </c>
      <c r="J1252" s="51">
        <v>4000</v>
      </c>
      <c r="K1252" s="52">
        <v>17.899999999999999</v>
      </c>
      <c r="L1252" s="53"/>
      <c r="M1252" s="53">
        <f>L1252*K1252</f>
        <v>0</v>
      </c>
      <c r="N1252" s="35">
        <v>4607015184129</v>
      </c>
    </row>
    <row r="1253" spans="1:14" ht="36" customHeight="1" outlineLevel="3" x14ac:dyDescent="0.2">
      <c r="A1253" s="45">
        <v>14578</v>
      </c>
      <c r="B1253" s="37" t="str">
        <f>HYPERLINK("http://sedek.ru/upload/iblock/b54/perets_kolpak_petrushki.jpg","фото")</f>
        <v>фото</v>
      </c>
      <c r="C1253" s="38"/>
      <c r="D1253" s="38"/>
      <c r="E1253" s="39" t="s">
        <v>1539</v>
      </c>
      <c r="F1253" s="39" t="s">
        <v>1540</v>
      </c>
      <c r="G1253" s="54">
        <v>0.05</v>
      </c>
      <c r="H1253" s="39" t="s">
        <v>101</v>
      </c>
      <c r="I1253" s="39" t="s">
        <v>102</v>
      </c>
      <c r="J1253" s="41">
        <v>5000</v>
      </c>
      <c r="K1253" s="42">
        <v>22.7</v>
      </c>
      <c r="L1253" s="43"/>
      <c r="M1253" s="43">
        <f>L1253*K1253</f>
        <v>0</v>
      </c>
      <c r="N1253" s="35">
        <v>4607149401581</v>
      </c>
    </row>
    <row r="1254" spans="1:14" ht="24" customHeight="1" outlineLevel="3" x14ac:dyDescent="0.2">
      <c r="A1254" s="36" t="s">
        <v>1541</v>
      </c>
      <c r="B1254" s="37" t="str">
        <f>HYPERLINK("http://www.sedek.ru/upload/iblock/bbb/perets_konfetti.jpg","фото")</f>
        <v>фото</v>
      </c>
      <c r="C1254" s="38"/>
      <c r="D1254" s="38"/>
      <c r="E1254" s="39" t="s">
        <v>1454</v>
      </c>
      <c r="F1254" s="39" t="s">
        <v>1542</v>
      </c>
      <c r="G1254" s="44">
        <v>0.1</v>
      </c>
      <c r="H1254" s="39" t="s">
        <v>101</v>
      </c>
      <c r="I1254" s="39" t="s">
        <v>102</v>
      </c>
      <c r="J1254" s="41">
        <v>5000</v>
      </c>
      <c r="K1254" s="42">
        <v>26.6</v>
      </c>
      <c r="L1254" s="43"/>
      <c r="M1254" s="43">
        <f>L1254*K1254</f>
        <v>0</v>
      </c>
      <c r="N1254" s="35">
        <v>4690368037143</v>
      </c>
    </row>
    <row r="1255" spans="1:14" ht="36" customHeight="1" outlineLevel="3" x14ac:dyDescent="0.2">
      <c r="A1255" s="45">
        <v>15253</v>
      </c>
      <c r="B1255" s="37" t="str">
        <f>HYPERLINK("http://sedek.ru/upload/iblock/ca5/perets_korvet.jpg","фото")</f>
        <v>фото</v>
      </c>
      <c r="C1255" s="38"/>
      <c r="D1255" s="38"/>
      <c r="E1255" s="39"/>
      <c r="F1255" s="39" t="s">
        <v>1543</v>
      </c>
      <c r="G1255" s="44">
        <v>0.2</v>
      </c>
      <c r="H1255" s="39" t="s">
        <v>101</v>
      </c>
      <c r="I1255" s="39" t="s">
        <v>102</v>
      </c>
      <c r="J1255" s="41">
        <v>4000</v>
      </c>
      <c r="K1255" s="42">
        <v>20</v>
      </c>
      <c r="L1255" s="43"/>
      <c r="M1255" s="43">
        <f>L1255*K1255</f>
        <v>0</v>
      </c>
      <c r="N1255" s="35">
        <v>4607015184143</v>
      </c>
    </row>
    <row r="1256" spans="1:14" ht="36" customHeight="1" outlineLevel="3" x14ac:dyDescent="0.2">
      <c r="A1256" s="45">
        <v>16274</v>
      </c>
      <c r="B1256" s="37" t="str">
        <f>HYPERLINK("http://sedek.ru/upload/iblock/408/perets_korvet_oranzhevyy.jpg","фото")</f>
        <v>фото</v>
      </c>
      <c r="C1256" s="38"/>
      <c r="D1256" s="38"/>
      <c r="E1256" s="39"/>
      <c r="F1256" s="39" t="s">
        <v>1544</v>
      </c>
      <c r="G1256" s="44">
        <v>0.2</v>
      </c>
      <c r="H1256" s="39" t="s">
        <v>101</v>
      </c>
      <c r="I1256" s="39" t="s">
        <v>102</v>
      </c>
      <c r="J1256" s="41">
        <v>4000</v>
      </c>
      <c r="K1256" s="42">
        <v>20</v>
      </c>
      <c r="L1256" s="43"/>
      <c r="M1256" s="43">
        <f>L1256*K1256</f>
        <v>0</v>
      </c>
      <c r="N1256" s="35">
        <v>4607116269558</v>
      </c>
    </row>
    <row r="1257" spans="1:14" ht="36" customHeight="1" outlineLevel="3" x14ac:dyDescent="0.2">
      <c r="A1257" s="45">
        <v>16370</v>
      </c>
      <c r="B1257" s="37" t="str">
        <f>HYPERLINK("http://www.sedek.ru/upload/iblock/cd3/perets_korenovskiy.jpg","фото")</f>
        <v>фото</v>
      </c>
      <c r="C1257" s="38"/>
      <c r="D1257" s="38"/>
      <c r="E1257" s="39"/>
      <c r="F1257" s="39" t="s">
        <v>1545</v>
      </c>
      <c r="G1257" s="44">
        <v>0.2</v>
      </c>
      <c r="H1257" s="39" t="s">
        <v>101</v>
      </c>
      <c r="I1257" s="39" t="s">
        <v>102</v>
      </c>
      <c r="J1257" s="41">
        <v>4000</v>
      </c>
      <c r="K1257" s="42">
        <v>16.899999999999999</v>
      </c>
      <c r="L1257" s="43"/>
      <c r="M1257" s="43">
        <f>L1257*K1257</f>
        <v>0</v>
      </c>
      <c r="N1257" s="35">
        <v>4607116266861</v>
      </c>
    </row>
    <row r="1258" spans="1:14" ht="36" customHeight="1" outlineLevel="3" x14ac:dyDescent="0.2">
      <c r="A1258" s="45">
        <v>16154</v>
      </c>
      <c r="B1258" s="37" t="str">
        <f>HYPERLINK("http://sedek.ru/upload/iblock/a7c/perets_krasnyy_drakon.jpg","фото")</f>
        <v>фото</v>
      </c>
      <c r="C1258" s="38"/>
      <c r="D1258" s="38"/>
      <c r="E1258" s="39" t="s">
        <v>1447</v>
      </c>
      <c r="F1258" s="39" t="s">
        <v>1546</v>
      </c>
      <c r="G1258" s="44">
        <v>0.1</v>
      </c>
      <c r="H1258" s="39" t="s">
        <v>101</v>
      </c>
      <c r="I1258" s="39" t="s">
        <v>102</v>
      </c>
      <c r="J1258" s="41">
        <v>4000</v>
      </c>
      <c r="K1258" s="42">
        <v>24.5</v>
      </c>
      <c r="L1258" s="43"/>
      <c r="M1258" s="43">
        <f>L1258*K1258</f>
        <v>0</v>
      </c>
      <c r="N1258" s="35">
        <v>4607149400089</v>
      </c>
    </row>
    <row r="1259" spans="1:14" ht="36" customHeight="1" outlineLevel="3" x14ac:dyDescent="0.2">
      <c r="A1259" s="45">
        <v>14485</v>
      </c>
      <c r="B1259" s="37" t="str">
        <f>HYPERLINK("http://sedek.ru/upload/iblock/32c/perets_krasnyy_slon.jpg","фото")</f>
        <v>фото</v>
      </c>
      <c r="C1259" s="38"/>
      <c r="D1259" s="38"/>
      <c r="E1259" s="39"/>
      <c r="F1259" s="39" t="s">
        <v>1547</v>
      </c>
      <c r="G1259" s="44">
        <v>0.1</v>
      </c>
      <c r="H1259" s="39" t="s">
        <v>101</v>
      </c>
      <c r="I1259" s="39" t="s">
        <v>102</v>
      </c>
      <c r="J1259" s="41">
        <v>4000</v>
      </c>
      <c r="K1259" s="42">
        <v>25.3</v>
      </c>
      <c r="L1259" s="43"/>
      <c r="M1259" s="43">
        <f>L1259*K1259</f>
        <v>0</v>
      </c>
      <c r="N1259" s="35">
        <v>4607149404865</v>
      </c>
    </row>
    <row r="1260" spans="1:14" ht="48" customHeight="1" outlineLevel="3" x14ac:dyDescent="0.2">
      <c r="A1260" s="36" t="s">
        <v>1548</v>
      </c>
      <c r="B1260" s="37" t="str">
        <f>HYPERLINK("http://sedek.ru/upload/iblock/a3d/perets_krepkiy_oreshek.jpg","фото")</f>
        <v>фото</v>
      </c>
      <c r="C1260" s="38"/>
      <c r="D1260" s="38"/>
      <c r="E1260" s="39"/>
      <c r="F1260" s="39" t="s">
        <v>1549</v>
      </c>
      <c r="G1260" s="44">
        <v>0.1</v>
      </c>
      <c r="H1260" s="39" t="s">
        <v>101</v>
      </c>
      <c r="I1260" s="39" t="s">
        <v>102</v>
      </c>
      <c r="J1260" s="41">
        <v>5000</v>
      </c>
      <c r="K1260" s="42">
        <v>25.3</v>
      </c>
      <c r="L1260" s="43"/>
      <c r="M1260" s="43">
        <f>L1260*K1260</f>
        <v>0</v>
      </c>
      <c r="N1260" s="35">
        <v>4690368037150</v>
      </c>
    </row>
    <row r="1261" spans="1:14" ht="36" customHeight="1" outlineLevel="3" x14ac:dyDescent="0.2">
      <c r="A1261" s="36" t="s">
        <v>1550</v>
      </c>
      <c r="B1261" s="37" t="str">
        <f>HYPERLINK("http://www.sedek.ru/upload/iblock/1fb/perets_krokodil_f1.jpg","фото")</f>
        <v>фото</v>
      </c>
      <c r="C1261" s="38"/>
      <c r="D1261" s="38"/>
      <c r="E1261" s="39" t="s">
        <v>1447</v>
      </c>
      <c r="F1261" s="39" t="s">
        <v>1551</v>
      </c>
      <c r="G1261" s="44">
        <v>0.1</v>
      </c>
      <c r="H1261" s="39" t="s">
        <v>101</v>
      </c>
      <c r="I1261" s="39" t="s">
        <v>102</v>
      </c>
      <c r="J1261" s="41">
        <v>4000</v>
      </c>
      <c r="K1261" s="42">
        <v>60.4</v>
      </c>
      <c r="L1261" s="43"/>
      <c r="M1261" s="43">
        <f>L1261*K1261</f>
        <v>0</v>
      </c>
      <c r="N1261" s="35">
        <v>4690368035538</v>
      </c>
    </row>
    <row r="1262" spans="1:14" ht="36" customHeight="1" outlineLevel="3" x14ac:dyDescent="0.2">
      <c r="A1262" s="45">
        <v>15519</v>
      </c>
      <c r="B1262" s="37" t="str">
        <f>HYPERLINK("http://sedek.ru/upload/iblock/a3a/perets_kubok_pobeditelyu_f1.jpg","фото")</f>
        <v>фото</v>
      </c>
      <c r="C1262" s="38"/>
      <c r="D1262" s="38"/>
      <c r="E1262" s="39"/>
      <c r="F1262" s="39" t="s">
        <v>1552</v>
      </c>
      <c r="G1262" s="44">
        <v>0.1</v>
      </c>
      <c r="H1262" s="39" t="s">
        <v>101</v>
      </c>
      <c r="I1262" s="39" t="s">
        <v>102</v>
      </c>
      <c r="J1262" s="41">
        <v>4000</v>
      </c>
      <c r="K1262" s="42">
        <v>20.100000000000001</v>
      </c>
      <c r="L1262" s="43"/>
      <c r="M1262" s="43">
        <f>L1262*K1262</f>
        <v>0</v>
      </c>
      <c r="N1262" s="35">
        <v>4607015184167</v>
      </c>
    </row>
    <row r="1263" spans="1:14" ht="36" customHeight="1" outlineLevel="3" x14ac:dyDescent="0.2">
      <c r="A1263" s="45">
        <v>13569</v>
      </c>
      <c r="B1263" s="37" t="str">
        <f>HYPERLINK("http://sedek.ru/upload/iblock/01e/perets_kupets_f1.jpg","фото")</f>
        <v>фото</v>
      </c>
      <c r="C1263" s="38"/>
      <c r="D1263" s="38"/>
      <c r="E1263" s="39"/>
      <c r="F1263" s="39" t="s">
        <v>1553</v>
      </c>
      <c r="G1263" s="44">
        <v>0.1</v>
      </c>
      <c r="H1263" s="39" t="s">
        <v>101</v>
      </c>
      <c r="I1263" s="39" t="s">
        <v>102</v>
      </c>
      <c r="J1263" s="41">
        <v>4000</v>
      </c>
      <c r="K1263" s="42">
        <v>26.3</v>
      </c>
      <c r="L1263" s="43"/>
      <c r="M1263" s="43">
        <f>L1263*K1263</f>
        <v>0</v>
      </c>
      <c r="N1263" s="35">
        <v>4690368012744</v>
      </c>
    </row>
    <row r="1264" spans="1:14" ht="36" customHeight="1" outlineLevel="3" x14ac:dyDescent="0.2">
      <c r="A1264" s="45">
        <v>13657</v>
      </c>
      <c r="B1264" s="37" t="str">
        <f>HYPERLINK("http://www.sedek.ru/upload/iblock/5d1/perets_kupchishka_f1.jpg","фото")</f>
        <v>фото</v>
      </c>
      <c r="C1264" s="38"/>
      <c r="D1264" s="38"/>
      <c r="E1264" s="39"/>
      <c r="F1264" s="39" t="s">
        <v>1554</v>
      </c>
      <c r="G1264" s="44">
        <v>0.1</v>
      </c>
      <c r="H1264" s="39" t="s">
        <v>101</v>
      </c>
      <c r="I1264" s="39" t="s">
        <v>102</v>
      </c>
      <c r="J1264" s="41">
        <v>4000</v>
      </c>
      <c r="K1264" s="42">
        <v>20</v>
      </c>
      <c r="L1264" s="43"/>
      <c r="M1264" s="43">
        <f>L1264*K1264</f>
        <v>0</v>
      </c>
      <c r="N1264" s="35">
        <v>4690368014540</v>
      </c>
    </row>
    <row r="1265" spans="1:14" ht="36" customHeight="1" outlineLevel="3" x14ac:dyDescent="0.2">
      <c r="A1265" s="45">
        <v>16581</v>
      </c>
      <c r="B1265" s="37" t="str">
        <f>HYPERLINK("http://sedek.ru/upload/iblock/a5c/perets_letyashchiy_motylek_f1_kustarnikovyy.jpg","фото")</f>
        <v>фото</v>
      </c>
      <c r="C1265" s="38"/>
      <c r="D1265" s="38"/>
      <c r="E1265" s="39"/>
      <c r="F1265" s="39" t="s">
        <v>1555</v>
      </c>
      <c r="G1265" s="54">
        <v>0.05</v>
      </c>
      <c r="H1265" s="39" t="s">
        <v>101</v>
      </c>
      <c r="I1265" s="39" t="s">
        <v>102</v>
      </c>
      <c r="J1265" s="41">
        <v>5000</v>
      </c>
      <c r="K1265" s="42">
        <v>33.9</v>
      </c>
      <c r="L1265" s="43"/>
      <c r="M1265" s="43">
        <f>L1265*K1265</f>
        <v>0</v>
      </c>
      <c r="N1265" s="35">
        <v>4690368007573</v>
      </c>
    </row>
    <row r="1266" spans="1:14" ht="36" customHeight="1" outlineLevel="3" x14ac:dyDescent="0.2">
      <c r="A1266" s="45">
        <v>16043</v>
      </c>
      <c r="B1266" s="37" t="str">
        <f>HYPERLINK("http://sedek.ru/upload/iblock/d74/perets_liza.jpg","фото")</f>
        <v>фото</v>
      </c>
      <c r="C1266" s="38"/>
      <c r="D1266" s="38" t="s">
        <v>266</v>
      </c>
      <c r="E1266" s="39"/>
      <c r="F1266" s="39" t="s">
        <v>1556</v>
      </c>
      <c r="G1266" s="44">
        <v>0.2</v>
      </c>
      <c r="H1266" s="39" t="s">
        <v>101</v>
      </c>
      <c r="I1266" s="39" t="s">
        <v>102</v>
      </c>
      <c r="J1266" s="41">
        <v>4000</v>
      </c>
      <c r="K1266" s="42">
        <v>19.100000000000001</v>
      </c>
      <c r="L1266" s="43"/>
      <c r="M1266" s="43">
        <f>L1266*K1266</f>
        <v>0</v>
      </c>
      <c r="N1266" s="35">
        <v>4607149404827</v>
      </c>
    </row>
    <row r="1267" spans="1:14" ht="36" customHeight="1" outlineLevel="3" x14ac:dyDescent="0.2">
      <c r="A1267" s="45">
        <v>15438</v>
      </c>
      <c r="B1267" s="37" t="str">
        <f>HYPERLINK("http://sedek.ru/upload/iblock/c71/perets_lolita.jpg","фото")</f>
        <v>фото</v>
      </c>
      <c r="C1267" s="38"/>
      <c r="D1267" s="38" t="s">
        <v>266</v>
      </c>
      <c r="E1267" s="39" t="s">
        <v>1435</v>
      </c>
      <c r="F1267" s="39" t="s">
        <v>1557</v>
      </c>
      <c r="G1267" s="44">
        <v>0.2</v>
      </c>
      <c r="H1267" s="39" t="s">
        <v>101</v>
      </c>
      <c r="I1267" s="39" t="s">
        <v>102</v>
      </c>
      <c r="J1267" s="41">
        <v>4000</v>
      </c>
      <c r="K1267" s="42">
        <v>20</v>
      </c>
      <c r="L1267" s="43"/>
      <c r="M1267" s="43">
        <f>L1267*K1267</f>
        <v>0</v>
      </c>
      <c r="N1267" s="35">
        <v>4607116266878</v>
      </c>
    </row>
    <row r="1268" spans="1:14" ht="36" customHeight="1" outlineLevel="3" x14ac:dyDescent="0.2">
      <c r="A1268" s="45">
        <v>14879</v>
      </c>
      <c r="B1268" s="37" t="str">
        <f>HYPERLINK("http://sedek.ru/upload/iblock/006/perets_magma.jpg","фото")</f>
        <v>фото</v>
      </c>
      <c r="C1268" s="38"/>
      <c r="D1268" s="38"/>
      <c r="E1268" s="39" t="s">
        <v>1447</v>
      </c>
      <c r="F1268" s="39" t="s">
        <v>1558</v>
      </c>
      <c r="G1268" s="44">
        <v>0.3</v>
      </c>
      <c r="H1268" s="39" t="s">
        <v>101</v>
      </c>
      <c r="I1268" s="39" t="s">
        <v>102</v>
      </c>
      <c r="J1268" s="41">
        <v>3000</v>
      </c>
      <c r="K1268" s="42">
        <v>19.100000000000001</v>
      </c>
      <c r="L1268" s="43"/>
      <c r="M1268" s="43">
        <f>L1268*K1268</f>
        <v>0</v>
      </c>
      <c r="N1268" s="35">
        <v>4607015188271</v>
      </c>
    </row>
    <row r="1269" spans="1:14" ht="36" customHeight="1" outlineLevel="3" x14ac:dyDescent="0.2">
      <c r="A1269" s="45">
        <v>14879</v>
      </c>
      <c r="B1269" s="37" t="str">
        <f>HYPERLINK("http://sedek.ru/upload/iblock/006/perets_magma.jpg","фото")</f>
        <v>фото</v>
      </c>
      <c r="C1269" s="38"/>
      <c r="D1269" s="38"/>
      <c r="E1269" s="39" t="s">
        <v>1447</v>
      </c>
      <c r="F1269" s="39" t="s">
        <v>1559</v>
      </c>
      <c r="G1269" s="44">
        <v>0.3</v>
      </c>
      <c r="H1269" s="39" t="s">
        <v>101</v>
      </c>
      <c r="I1269" s="39" t="s">
        <v>287</v>
      </c>
      <c r="J1269" s="41">
        <v>3000</v>
      </c>
      <c r="K1269" s="42">
        <v>7.3</v>
      </c>
      <c r="L1269" s="43"/>
      <c r="M1269" s="43">
        <f>L1269*K1269</f>
        <v>0</v>
      </c>
      <c r="N1269" s="35">
        <v>4690368011389</v>
      </c>
    </row>
    <row r="1270" spans="1:14" ht="36" customHeight="1" outlineLevel="3" x14ac:dyDescent="0.2">
      <c r="A1270" s="45">
        <v>16135</v>
      </c>
      <c r="B1270" s="37" t="str">
        <f>HYPERLINK("http://sedek.ru/upload/iblock/e80/perets_malenkoe_chudo.jpg","фото")</f>
        <v>фото</v>
      </c>
      <c r="C1270" s="38"/>
      <c r="D1270" s="38"/>
      <c r="E1270" s="39" t="s">
        <v>1454</v>
      </c>
      <c r="F1270" s="39" t="s">
        <v>1560</v>
      </c>
      <c r="G1270" s="44">
        <v>0.1</v>
      </c>
      <c r="H1270" s="39" t="s">
        <v>101</v>
      </c>
      <c r="I1270" s="39" t="s">
        <v>102</v>
      </c>
      <c r="J1270" s="41">
        <v>4000</v>
      </c>
      <c r="K1270" s="42">
        <v>21</v>
      </c>
      <c r="L1270" s="43"/>
      <c r="M1270" s="43">
        <f>L1270*K1270</f>
        <v>0</v>
      </c>
      <c r="N1270" s="35">
        <v>4607015188288</v>
      </c>
    </row>
    <row r="1271" spans="1:14" ht="24" customHeight="1" outlineLevel="3" x14ac:dyDescent="0.2">
      <c r="A1271" s="45">
        <v>15803</v>
      </c>
      <c r="B1271" s="37" t="str">
        <f>HYPERLINK("http://sedek.ru/upload/iblock/d43/perets_mamka.jpg","фото")</f>
        <v>фото</v>
      </c>
      <c r="C1271" s="38"/>
      <c r="D1271" s="38"/>
      <c r="E1271" s="39" t="s">
        <v>1447</v>
      </c>
      <c r="F1271" s="39" t="s">
        <v>1561</v>
      </c>
      <c r="G1271" s="44">
        <v>0.2</v>
      </c>
      <c r="H1271" s="39" t="s">
        <v>101</v>
      </c>
      <c r="I1271" s="39" t="s">
        <v>102</v>
      </c>
      <c r="J1271" s="41">
        <v>4000</v>
      </c>
      <c r="K1271" s="42">
        <v>19.100000000000001</v>
      </c>
      <c r="L1271" s="43"/>
      <c r="M1271" s="43">
        <f>L1271*K1271</f>
        <v>0</v>
      </c>
      <c r="N1271" s="35">
        <v>4690368009515</v>
      </c>
    </row>
    <row r="1272" spans="1:14" ht="36" customHeight="1" outlineLevel="3" x14ac:dyDescent="0.2">
      <c r="A1272" s="45">
        <v>15405</v>
      </c>
      <c r="B1272" s="37" t="str">
        <f>HYPERLINK("http://www.sedek.ru/upload/iblock/c52/perets_mamont_f1.jpg","фото")</f>
        <v>фото</v>
      </c>
      <c r="C1272" s="38"/>
      <c r="D1272" s="38" t="s">
        <v>266</v>
      </c>
      <c r="E1272" s="39"/>
      <c r="F1272" s="39" t="s">
        <v>1562</v>
      </c>
      <c r="G1272" s="44">
        <v>0.1</v>
      </c>
      <c r="H1272" s="39" t="s">
        <v>101</v>
      </c>
      <c r="I1272" s="39" t="s">
        <v>102</v>
      </c>
      <c r="J1272" s="41">
        <v>4000</v>
      </c>
      <c r="K1272" s="42">
        <v>26.6</v>
      </c>
      <c r="L1272" s="43"/>
      <c r="M1272" s="43">
        <f>L1272*K1272</f>
        <v>0</v>
      </c>
      <c r="N1272" s="35">
        <v>4690368009522</v>
      </c>
    </row>
    <row r="1273" spans="1:14" ht="36" customHeight="1" outlineLevel="3" x14ac:dyDescent="0.2">
      <c r="A1273" s="45">
        <v>13759</v>
      </c>
      <c r="B1273" s="37" t="str">
        <f>HYPERLINK("http://sedek.ru/upload/iblock/c49/perets_marina.jpg","фото")</f>
        <v>фото</v>
      </c>
      <c r="C1273" s="38"/>
      <c r="D1273" s="38" t="s">
        <v>266</v>
      </c>
      <c r="E1273" s="39"/>
      <c r="F1273" s="39" t="s">
        <v>1563</v>
      </c>
      <c r="G1273" s="44">
        <v>0.2</v>
      </c>
      <c r="H1273" s="39" t="s">
        <v>101</v>
      </c>
      <c r="I1273" s="39" t="s">
        <v>102</v>
      </c>
      <c r="J1273" s="41">
        <v>4000</v>
      </c>
      <c r="K1273" s="42">
        <v>22.7</v>
      </c>
      <c r="L1273" s="43"/>
      <c r="M1273" s="43">
        <f>L1273*K1273</f>
        <v>0</v>
      </c>
      <c r="N1273" s="35">
        <v>4607015185157</v>
      </c>
    </row>
    <row r="1274" spans="1:14" ht="36" customHeight="1" outlineLevel="3" x14ac:dyDescent="0.2">
      <c r="A1274" s="36" t="s">
        <v>1564</v>
      </c>
      <c r="B1274" s="37" t="str">
        <f>HYPERLINK("http://www.sedek.ru/upload/iblock/d61/perets_marshal_f1.jpg","фото")</f>
        <v>фото</v>
      </c>
      <c r="C1274" s="38"/>
      <c r="D1274" s="38" t="s">
        <v>266</v>
      </c>
      <c r="E1274" s="39" t="s">
        <v>1417</v>
      </c>
      <c r="F1274" s="39" t="s">
        <v>1565</v>
      </c>
      <c r="G1274" s="44">
        <v>0.1</v>
      </c>
      <c r="H1274" s="39" t="s">
        <v>101</v>
      </c>
      <c r="I1274" s="39" t="s">
        <v>102</v>
      </c>
      <c r="J1274" s="41">
        <v>4000</v>
      </c>
      <c r="K1274" s="42">
        <v>96.5</v>
      </c>
      <c r="L1274" s="43"/>
      <c r="M1274" s="43">
        <f>L1274*K1274</f>
        <v>0</v>
      </c>
      <c r="N1274" s="35">
        <v>4690368026178</v>
      </c>
    </row>
    <row r="1275" spans="1:14" ht="36" customHeight="1" outlineLevel="3" x14ac:dyDescent="0.2">
      <c r="A1275" s="36" t="s">
        <v>1566</v>
      </c>
      <c r="B1275" s="37" t="str">
        <f>HYPERLINK("http://sedek.ru/upload/iblock/771/perets_marshal_zhukov_f1.jpg","фото")</f>
        <v>фото</v>
      </c>
      <c r="C1275" s="38"/>
      <c r="D1275" s="38"/>
      <c r="E1275" s="39" t="s">
        <v>1417</v>
      </c>
      <c r="F1275" s="39" t="s">
        <v>1567</v>
      </c>
      <c r="G1275" s="44">
        <v>0.1</v>
      </c>
      <c r="H1275" s="39" t="s">
        <v>101</v>
      </c>
      <c r="I1275" s="39" t="s">
        <v>102</v>
      </c>
      <c r="J1275" s="41">
        <v>4000</v>
      </c>
      <c r="K1275" s="42">
        <v>96.5</v>
      </c>
      <c r="L1275" s="43"/>
      <c r="M1275" s="43">
        <f>L1275*K1275</f>
        <v>0</v>
      </c>
      <c r="N1275" s="35">
        <v>4690368027458</v>
      </c>
    </row>
    <row r="1276" spans="1:14" ht="36" customHeight="1" outlineLevel="3" x14ac:dyDescent="0.2">
      <c r="A1276" s="45">
        <v>14527</v>
      </c>
      <c r="B1276" s="37" t="str">
        <f>HYPERLINK("http://sedek.ru/upload/iblock/1e5/perets_marya.jpg","фото")</f>
        <v>фото</v>
      </c>
      <c r="C1276" s="38"/>
      <c r="D1276" s="38"/>
      <c r="E1276" s="39"/>
      <c r="F1276" s="39" t="s">
        <v>1568</v>
      </c>
      <c r="G1276" s="44">
        <v>0.2</v>
      </c>
      <c r="H1276" s="39" t="s">
        <v>101</v>
      </c>
      <c r="I1276" s="39" t="s">
        <v>102</v>
      </c>
      <c r="J1276" s="41">
        <v>4000</v>
      </c>
      <c r="K1276" s="42">
        <v>19.5</v>
      </c>
      <c r="L1276" s="43"/>
      <c r="M1276" s="43">
        <f>L1276*K1276</f>
        <v>0</v>
      </c>
      <c r="N1276" s="35">
        <v>4607015188318</v>
      </c>
    </row>
    <row r="1277" spans="1:14" ht="36" customHeight="1" outlineLevel="3" x14ac:dyDescent="0.2">
      <c r="A1277" s="45">
        <v>13658</v>
      </c>
      <c r="B1277" s="37" t="str">
        <f>HYPERLINK("http://sedek.ru/upload/iblock/3fc/perets_medalist_f1.JPG","фото")</f>
        <v>фото</v>
      </c>
      <c r="C1277" s="38"/>
      <c r="D1277" s="38"/>
      <c r="E1277" s="39" t="s">
        <v>1435</v>
      </c>
      <c r="F1277" s="39" t="s">
        <v>1569</v>
      </c>
      <c r="G1277" s="44">
        <v>0.1</v>
      </c>
      <c r="H1277" s="39" t="s">
        <v>101</v>
      </c>
      <c r="I1277" s="39" t="s">
        <v>102</v>
      </c>
      <c r="J1277" s="41">
        <v>4000</v>
      </c>
      <c r="K1277" s="42">
        <v>20.5</v>
      </c>
      <c r="L1277" s="43"/>
      <c r="M1277" s="43">
        <f>L1277*K1277</f>
        <v>0</v>
      </c>
      <c r="N1277" s="35">
        <v>4690368022101</v>
      </c>
    </row>
    <row r="1278" spans="1:14" ht="36" customHeight="1" outlineLevel="3" x14ac:dyDescent="0.2">
      <c r="A1278" s="45">
        <v>15218</v>
      </c>
      <c r="B1278" s="37" t="str">
        <f>HYPERLINK("http://sedek.ru/upload/iblock/6e5/perets_merkuriy.JPG","фото")</f>
        <v>фото</v>
      </c>
      <c r="C1278" s="38"/>
      <c r="D1278" s="38"/>
      <c r="E1278" s="39"/>
      <c r="F1278" s="39" t="s">
        <v>1570</v>
      </c>
      <c r="G1278" s="44">
        <v>0.1</v>
      </c>
      <c r="H1278" s="39" t="s">
        <v>101</v>
      </c>
      <c r="I1278" s="39" t="s">
        <v>102</v>
      </c>
      <c r="J1278" s="41">
        <v>4000</v>
      </c>
      <c r="K1278" s="42">
        <v>19.5</v>
      </c>
      <c r="L1278" s="43"/>
      <c r="M1278" s="43">
        <f>L1278*K1278</f>
        <v>0</v>
      </c>
      <c r="N1278" s="35">
        <v>4607015188332</v>
      </c>
    </row>
    <row r="1279" spans="1:14" ht="36" customHeight="1" outlineLevel="3" x14ac:dyDescent="0.2">
      <c r="A1279" s="45">
        <v>14606</v>
      </c>
      <c r="B1279" s="37" t="str">
        <f>HYPERLINK("http://sedek.ru/upload/iblock/887/perets_mirazh.jpg","фото")</f>
        <v>фото</v>
      </c>
      <c r="C1279" s="38"/>
      <c r="D1279" s="38"/>
      <c r="E1279" s="39" t="s">
        <v>1435</v>
      </c>
      <c r="F1279" s="39" t="s">
        <v>1571</v>
      </c>
      <c r="G1279" s="44">
        <v>0.2</v>
      </c>
      <c r="H1279" s="39" t="s">
        <v>101</v>
      </c>
      <c r="I1279" s="39" t="s">
        <v>102</v>
      </c>
      <c r="J1279" s="41">
        <v>4000</v>
      </c>
      <c r="K1279" s="42">
        <v>19.5</v>
      </c>
      <c r="L1279" s="43"/>
      <c r="M1279" s="43">
        <f>L1279*K1279</f>
        <v>0</v>
      </c>
      <c r="N1279" s="35">
        <v>4607015185164</v>
      </c>
    </row>
    <row r="1280" spans="1:14" ht="48" customHeight="1" outlineLevel="3" x14ac:dyDescent="0.2">
      <c r="A1280" s="45">
        <v>15858</v>
      </c>
      <c r="B1280" s="37" t="str">
        <f>HYPERLINK("http://sedek.ru/upload/iblock/c29/perets_molniya_belaya.jpg","фото")</f>
        <v>фото</v>
      </c>
      <c r="C1280" s="38"/>
      <c r="D1280" s="38" t="s">
        <v>266</v>
      </c>
      <c r="E1280" s="39" t="s">
        <v>1441</v>
      </c>
      <c r="F1280" s="39" t="s">
        <v>1572</v>
      </c>
      <c r="G1280" s="54">
        <v>0.05</v>
      </c>
      <c r="H1280" s="39" t="s">
        <v>101</v>
      </c>
      <c r="I1280" s="39" t="s">
        <v>102</v>
      </c>
      <c r="J1280" s="41">
        <v>5000</v>
      </c>
      <c r="K1280" s="42">
        <v>38.1</v>
      </c>
      <c r="L1280" s="43"/>
      <c r="M1280" s="43">
        <f>L1280*K1280</f>
        <v>0</v>
      </c>
      <c r="N1280" s="35">
        <v>4607015188349</v>
      </c>
    </row>
    <row r="1281" spans="1:14" ht="48" customHeight="1" outlineLevel="3" x14ac:dyDescent="0.2">
      <c r="A1281" s="45">
        <v>13999</v>
      </c>
      <c r="B1281" s="37" t="str">
        <f>HYPERLINK("http://sedek.ru/upload/iblock/ed2/perets_molniya_zolotaya_f1.jpg","фото")</f>
        <v>фото</v>
      </c>
      <c r="C1281" s="38"/>
      <c r="D1281" s="38"/>
      <c r="E1281" s="39" t="s">
        <v>1441</v>
      </c>
      <c r="F1281" s="39" t="s">
        <v>1573</v>
      </c>
      <c r="G1281" s="54">
        <v>0.05</v>
      </c>
      <c r="H1281" s="39" t="s">
        <v>101</v>
      </c>
      <c r="I1281" s="39" t="s">
        <v>102</v>
      </c>
      <c r="J1281" s="41">
        <v>5000</v>
      </c>
      <c r="K1281" s="42">
        <v>38.1</v>
      </c>
      <c r="L1281" s="43"/>
      <c r="M1281" s="43">
        <f>L1281*K1281</f>
        <v>0</v>
      </c>
      <c r="N1281" s="35">
        <v>4607015188356</v>
      </c>
    </row>
    <row r="1282" spans="1:14" ht="48" customHeight="1" outlineLevel="3" x14ac:dyDescent="0.2">
      <c r="A1282" s="45">
        <v>15740</v>
      </c>
      <c r="B1282" s="37" t="str">
        <f>HYPERLINK("http://www.sedek.ru/upload/iblock/4db/perets_molniya_krasnaya_f1.jpg","фото")</f>
        <v>фото</v>
      </c>
      <c r="C1282" s="38"/>
      <c r="D1282" s="38"/>
      <c r="E1282" s="39" t="s">
        <v>1441</v>
      </c>
      <c r="F1282" s="39" t="s">
        <v>1574</v>
      </c>
      <c r="G1282" s="54">
        <v>0.05</v>
      </c>
      <c r="H1282" s="39" t="s">
        <v>101</v>
      </c>
      <c r="I1282" s="39" t="s">
        <v>102</v>
      </c>
      <c r="J1282" s="41">
        <v>5000</v>
      </c>
      <c r="K1282" s="42">
        <v>38.1</v>
      </c>
      <c r="L1282" s="43"/>
      <c r="M1282" s="43">
        <f>L1282*K1282</f>
        <v>0</v>
      </c>
      <c r="N1282" s="35">
        <v>4607015188363</v>
      </c>
    </row>
    <row r="1283" spans="1:14" ht="36" customHeight="1" outlineLevel="3" x14ac:dyDescent="0.2">
      <c r="A1283" s="45">
        <v>14377</v>
      </c>
      <c r="B1283" s="37" t="str">
        <f>HYPERLINK("http://sedek.ru/upload/iblock/a71/perets_molniya_chernaya_f1.jpg","фото")</f>
        <v>фото</v>
      </c>
      <c r="C1283" s="38"/>
      <c r="D1283" s="38"/>
      <c r="E1283" s="39" t="s">
        <v>1441</v>
      </c>
      <c r="F1283" s="39" t="s">
        <v>1575</v>
      </c>
      <c r="G1283" s="54">
        <v>0.05</v>
      </c>
      <c r="H1283" s="39" t="s">
        <v>101</v>
      </c>
      <c r="I1283" s="39" t="s">
        <v>102</v>
      </c>
      <c r="J1283" s="41">
        <v>5000</v>
      </c>
      <c r="K1283" s="42">
        <v>38.1</v>
      </c>
      <c r="L1283" s="43"/>
      <c r="M1283" s="43">
        <f>L1283*K1283</f>
        <v>0</v>
      </c>
      <c r="N1283" s="35">
        <v>4607149400133</v>
      </c>
    </row>
    <row r="1284" spans="1:14" ht="36" customHeight="1" outlineLevel="3" x14ac:dyDescent="0.2">
      <c r="A1284" s="36" t="s">
        <v>1576</v>
      </c>
      <c r="B1284" s="37" t="str">
        <f>HYPERLINK("https://www.sedek.ru/upload/iblock/b2f/perets_ostryy_naga_morich_belyy.jpg","фото")</f>
        <v>фото</v>
      </c>
      <c r="C1284" s="38" t="s">
        <v>266</v>
      </c>
      <c r="D1284" s="38"/>
      <c r="E1284" s="39" t="s">
        <v>1445</v>
      </c>
      <c r="F1284" s="39" t="s">
        <v>1577</v>
      </c>
      <c r="G1284" s="40">
        <v>5</v>
      </c>
      <c r="H1284" s="39"/>
      <c r="I1284" s="39" t="s">
        <v>102</v>
      </c>
      <c r="J1284" s="41">
        <v>4000</v>
      </c>
      <c r="K1284" s="42">
        <v>167.7</v>
      </c>
      <c r="L1284" s="43"/>
      <c r="M1284" s="43">
        <f>L1284*K1284</f>
        <v>0</v>
      </c>
      <c r="N1284" s="35">
        <v>4690368044400</v>
      </c>
    </row>
    <row r="1285" spans="1:14" ht="36" customHeight="1" outlineLevel="3" x14ac:dyDescent="0.2">
      <c r="A1285" s="36" t="s">
        <v>1578</v>
      </c>
      <c r="B1285" s="37" t="str">
        <f>HYPERLINK("http://www.sedek.ru/upload/iblock/10b/perets_naga_morich.jpg","фото")</f>
        <v>фото</v>
      </c>
      <c r="C1285" s="38"/>
      <c r="D1285" s="38" t="s">
        <v>266</v>
      </c>
      <c r="E1285" s="39" t="s">
        <v>1445</v>
      </c>
      <c r="F1285" s="39" t="s">
        <v>1579</v>
      </c>
      <c r="G1285" s="40">
        <v>5</v>
      </c>
      <c r="H1285" s="39" t="s">
        <v>307</v>
      </c>
      <c r="I1285" s="39" t="s">
        <v>102</v>
      </c>
      <c r="J1285" s="41">
        <v>4000</v>
      </c>
      <c r="K1285" s="42">
        <v>132.9</v>
      </c>
      <c r="L1285" s="43"/>
      <c r="M1285" s="43">
        <f>L1285*K1285</f>
        <v>0</v>
      </c>
      <c r="N1285" s="35">
        <v>4690368036429</v>
      </c>
    </row>
    <row r="1286" spans="1:14" ht="36" customHeight="1" outlineLevel="3" x14ac:dyDescent="0.2">
      <c r="A1286" s="45">
        <v>16007</v>
      </c>
      <c r="B1286" s="37" t="str">
        <f>HYPERLINK("http://sedek.ru/upload/iblock/a76/perets_nezhnost.JPG","фото")</f>
        <v>фото</v>
      </c>
      <c r="C1286" s="38"/>
      <c r="D1286" s="38"/>
      <c r="E1286" s="39"/>
      <c r="F1286" s="39" t="s">
        <v>1580</v>
      </c>
      <c r="G1286" s="44">
        <v>0.2</v>
      </c>
      <c r="H1286" s="39" t="s">
        <v>101</v>
      </c>
      <c r="I1286" s="39" t="s">
        <v>102</v>
      </c>
      <c r="J1286" s="41">
        <v>4000</v>
      </c>
      <c r="K1286" s="42">
        <v>20.5</v>
      </c>
      <c r="L1286" s="43"/>
      <c r="M1286" s="43">
        <f>L1286*K1286</f>
        <v>0</v>
      </c>
      <c r="N1286" s="35">
        <v>4607015188387</v>
      </c>
    </row>
    <row r="1287" spans="1:14" ht="36" customHeight="1" outlineLevel="3" x14ac:dyDescent="0.2">
      <c r="A1287" s="45">
        <v>16007</v>
      </c>
      <c r="B1287" s="37" t="str">
        <f>HYPERLINK("http://sedek.ru/upload/iblock/a76/perets_nezhnost.JPG","фото")</f>
        <v>фото</v>
      </c>
      <c r="C1287" s="38"/>
      <c r="D1287" s="38"/>
      <c r="E1287" s="39"/>
      <c r="F1287" s="39" t="s">
        <v>1581</v>
      </c>
      <c r="G1287" s="44">
        <v>0.2</v>
      </c>
      <c r="H1287" s="39" t="s">
        <v>101</v>
      </c>
      <c r="I1287" s="39" t="s">
        <v>287</v>
      </c>
      <c r="J1287" s="41">
        <v>4000</v>
      </c>
      <c r="K1287" s="42">
        <v>7.3</v>
      </c>
      <c r="L1287" s="43"/>
      <c r="M1287" s="43">
        <f>L1287*K1287</f>
        <v>0</v>
      </c>
      <c r="N1287" s="35">
        <v>4690368005166</v>
      </c>
    </row>
    <row r="1288" spans="1:14" ht="36" customHeight="1" outlineLevel="3" x14ac:dyDescent="0.2">
      <c r="A1288" s="45">
        <v>14553</v>
      </c>
      <c r="B1288" s="37" t="str">
        <f>HYPERLINK("http://sedek.ru/upload/iblock/86c/perets_novogogoshary.jpg","фото")</f>
        <v>фото</v>
      </c>
      <c r="C1288" s="38"/>
      <c r="D1288" s="38"/>
      <c r="E1288" s="39"/>
      <c r="F1288" s="39" t="s">
        <v>1582</v>
      </c>
      <c r="G1288" s="44">
        <v>0.2</v>
      </c>
      <c r="H1288" s="39" t="s">
        <v>101</v>
      </c>
      <c r="I1288" s="39" t="s">
        <v>102</v>
      </c>
      <c r="J1288" s="41">
        <v>4000</v>
      </c>
      <c r="K1288" s="42">
        <v>20</v>
      </c>
      <c r="L1288" s="43"/>
      <c r="M1288" s="43">
        <f>L1288*K1288</f>
        <v>0</v>
      </c>
      <c r="N1288" s="35">
        <v>4607015188394</v>
      </c>
    </row>
    <row r="1289" spans="1:14" ht="36" customHeight="1" outlineLevel="3" x14ac:dyDescent="0.2">
      <c r="A1289" s="36" t="s">
        <v>1583</v>
      </c>
      <c r="B1289" s="37" t="str">
        <f>HYPERLINK("http://sedek.ru/upload/iblock/0bd/perets_novogogoshary_oranzhevyy.jpg","фото")</f>
        <v>фото</v>
      </c>
      <c r="C1289" s="38"/>
      <c r="D1289" s="38"/>
      <c r="E1289" s="39"/>
      <c r="F1289" s="39" t="s">
        <v>1584</v>
      </c>
      <c r="G1289" s="44">
        <v>0.1</v>
      </c>
      <c r="H1289" s="39" t="s">
        <v>101</v>
      </c>
      <c r="I1289" s="39" t="s">
        <v>102</v>
      </c>
      <c r="J1289" s="41">
        <v>4000</v>
      </c>
      <c r="K1289" s="42">
        <v>20</v>
      </c>
      <c r="L1289" s="43"/>
      <c r="M1289" s="43">
        <f>L1289*K1289</f>
        <v>0</v>
      </c>
      <c r="N1289" s="35">
        <v>4690368036474</v>
      </c>
    </row>
    <row r="1290" spans="1:14" ht="24" customHeight="1" outlineLevel="3" x14ac:dyDescent="0.2">
      <c r="A1290" s="36" t="s">
        <v>1585</v>
      </c>
      <c r="B1290" s="37" t="str">
        <f>HYPERLINK("http://www.sedek.ru/upload/iblock/153/perets_ognennoe_dykhanie.jpg","фото")</f>
        <v>фото</v>
      </c>
      <c r="C1290" s="38" t="s">
        <v>266</v>
      </c>
      <c r="D1290" s="38"/>
      <c r="E1290" s="39" t="s">
        <v>1447</v>
      </c>
      <c r="F1290" s="39" t="s">
        <v>1586</v>
      </c>
      <c r="G1290" s="44">
        <v>0.1</v>
      </c>
      <c r="H1290" s="39" t="s">
        <v>101</v>
      </c>
      <c r="I1290" s="39" t="s">
        <v>102</v>
      </c>
      <c r="J1290" s="41">
        <v>5000</v>
      </c>
      <c r="K1290" s="42">
        <v>26.6</v>
      </c>
      <c r="L1290" s="43"/>
      <c r="M1290" s="43">
        <f>L1290*K1290</f>
        <v>0</v>
      </c>
      <c r="N1290" s="35">
        <v>4690368037181</v>
      </c>
    </row>
    <row r="1291" spans="1:14" ht="36" customHeight="1" outlineLevel="3" x14ac:dyDescent="0.2">
      <c r="A1291" s="45">
        <v>13564</v>
      </c>
      <c r="B1291" s="37" t="str">
        <f>HYPERLINK("http://sedek.ru/upload/iblock/268/perets_ogonek_smes_sortov.jpg","фото")</f>
        <v>фото</v>
      </c>
      <c r="C1291" s="38"/>
      <c r="D1291" s="38"/>
      <c r="E1291" s="39" t="s">
        <v>1447</v>
      </c>
      <c r="F1291" s="39" t="s">
        <v>1587</v>
      </c>
      <c r="G1291" s="54">
        <v>0.05</v>
      </c>
      <c r="H1291" s="39" t="s">
        <v>101</v>
      </c>
      <c r="I1291" s="39" t="s">
        <v>102</v>
      </c>
      <c r="J1291" s="41">
        <v>5000</v>
      </c>
      <c r="K1291" s="42">
        <v>28</v>
      </c>
      <c r="L1291" s="43"/>
      <c r="M1291" s="43">
        <f>L1291*K1291</f>
        <v>0</v>
      </c>
      <c r="N1291" s="35">
        <v>4690368011914</v>
      </c>
    </row>
    <row r="1292" spans="1:14" ht="36" customHeight="1" outlineLevel="3" x14ac:dyDescent="0.2">
      <c r="A1292" s="45">
        <v>16551</v>
      </c>
      <c r="B1292" s="37" t="str">
        <f>HYPERLINK("http://sedek.ru/upload/iblock/e92/perets_ogon_struchki_f1.jpg","фото")</f>
        <v>фото</v>
      </c>
      <c r="C1292" s="38"/>
      <c r="D1292" s="38"/>
      <c r="E1292" s="39" t="s">
        <v>1447</v>
      </c>
      <c r="F1292" s="39" t="s">
        <v>1588</v>
      </c>
      <c r="G1292" s="44">
        <v>0.1</v>
      </c>
      <c r="H1292" s="39" t="s">
        <v>101</v>
      </c>
      <c r="I1292" s="39" t="s">
        <v>102</v>
      </c>
      <c r="J1292" s="41">
        <v>4000</v>
      </c>
      <c r="K1292" s="42">
        <v>20.5</v>
      </c>
      <c r="L1292" s="43"/>
      <c r="M1292" s="43">
        <f>L1292*K1292</f>
        <v>0</v>
      </c>
      <c r="N1292" s="35">
        <v>4690368022118</v>
      </c>
    </row>
    <row r="1293" spans="1:14" ht="36" customHeight="1" outlineLevel="3" x14ac:dyDescent="0.2">
      <c r="A1293" s="36" t="s">
        <v>1589</v>
      </c>
      <c r="B1293" s="37" t="str">
        <f>HYPERLINK("http://sedek.ru/upload/iblock/ee1/perets_okonnoe_ocharovanie.jpg","фото")</f>
        <v>фото</v>
      </c>
      <c r="C1293" s="38"/>
      <c r="D1293" s="38" t="s">
        <v>266</v>
      </c>
      <c r="E1293" s="39" t="s">
        <v>1539</v>
      </c>
      <c r="F1293" s="39" t="s">
        <v>1590</v>
      </c>
      <c r="G1293" s="44">
        <v>0.1</v>
      </c>
      <c r="H1293" s="39" t="s">
        <v>101</v>
      </c>
      <c r="I1293" s="39" t="s">
        <v>102</v>
      </c>
      <c r="J1293" s="41">
        <v>5000</v>
      </c>
      <c r="K1293" s="42">
        <v>26.6</v>
      </c>
      <c r="L1293" s="43"/>
      <c r="M1293" s="43">
        <f>L1293*K1293</f>
        <v>0</v>
      </c>
      <c r="N1293" s="35">
        <v>4690368037105</v>
      </c>
    </row>
    <row r="1294" spans="1:14" ht="36" customHeight="1" outlineLevel="3" x14ac:dyDescent="0.2">
      <c r="A1294" s="45">
        <v>16193</v>
      </c>
      <c r="B1294" s="37" t="str">
        <f>HYPERLINK("http://sedek.ru/upload/iblock/f52/perets_olimp_f1.jpg","фото")</f>
        <v>фото</v>
      </c>
      <c r="C1294" s="38"/>
      <c r="D1294" s="38"/>
      <c r="E1294" s="39"/>
      <c r="F1294" s="39" t="s">
        <v>1591</v>
      </c>
      <c r="G1294" s="44">
        <v>0.1</v>
      </c>
      <c r="H1294" s="39" t="s">
        <v>101</v>
      </c>
      <c r="I1294" s="39" t="s">
        <v>102</v>
      </c>
      <c r="J1294" s="41">
        <v>4000</v>
      </c>
      <c r="K1294" s="42">
        <v>22.7</v>
      </c>
      <c r="L1294" s="43"/>
      <c r="M1294" s="43">
        <f>L1294*K1294</f>
        <v>0</v>
      </c>
      <c r="N1294" s="35">
        <v>4607015185171</v>
      </c>
    </row>
    <row r="1295" spans="1:14" ht="36" customHeight="1" outlineLevel="3" x14ac:dyDescent="0.2">
      <c r="A1295" s="45">
        <v>13827</v>
      </c>
      <c r="B1295" s="37" t="str">
        <f>HYPERLINK("http://sedek.ru/upload/iblock/575/perets_olga_f1.jpg","фото")</f>
        <v>фото</v>
      </c>
      <c r="C1295" s="38"/>
      <c r="D1295" s="38"/>
      <c r="E1295" s="39"/>
      <c r="F1295" s="39" t="s">
        <v>1592</v>
      </c>
      <c r="G1295" s="44">
        <v>0.1</v>
      </c>
      <c r="H1295" s="39" t="s">
        <v>101</v>
      </c>
      <c r="I1295" s="39" t="s">
        <v>102</v>
      </c>
      <c r="J1295" s="41">
        <v>4000</v>
      </c>
      <c r="K1295" s="42">
        <v>25.3</v>
      </c>
      <c r="L1295" s="43"/>
      <c r="M1295" s="43">
        <f>L1295*K1295</f>
        <v>0</v>
      </c>
      <c r="N1295" s="35">
        <v>4607015185188</v>
      </c>
    </row>
    <row r="1296" spans="1:14" ht="36" customHeight="1" outlineLevel="3" x14ac:dyDescent="0.2">
      <c r="A1296" s="45">
        <v>13827</v>
      </c>
      <c r="B1296" s="37" t="str">
        <f>HYPERLINK("http://sedek.ru/upload/iblock/575/perets_olga_f1.jpg","фото")</f>
        <v>фото</v>
      </c>
      <c r="C1296" s="38"/>
      <c r="D1296" s="38"/>
      <c r="E1296" s="39"/>
      <c r="F1296" s="39" t="s">
        <v>1593</v>
      </c>
      <c r="G1296" s="44">
        <v>0.1</v>
      </c>
      <c r="H1296" s="39" t="s">
        <v>101</v>
      </c>
      <c r="I1296" s="39" t="s">
        <v>287</v>
      </c>
      <c r="J1296" s="41">
        <v>4000</v>
      </c>
      <c r="K1296" s="42">
        <v>10.8</v>
      </c>
      <c r="L1296" s="43"/>
      <c r="M1296" s="43">
        <f>L1296*K1296</f>
        <v>0</v>
      </c>
      <c r="N1296" s="35">
        <v>4690368006354</v>
      </c>
    </row>
    <row r="1297" spans="1:14" ht="36" customHeight="1" outlineLevel="3" x14ac:dyDescent="0.2">
      <c r="A1297" s="45">
        <v>14872</v>
      </c>
      <c r="B1297" s="37" t="str">
        <f>HYPERLINK("http://sedek.ru/upload/iblock/9fd/perets_oranzhevoe_chudo.jpg","фото")</f>
        <v>фото</v>
      </c>
      <c r="C1297" s="38"/>
      <c r="D1297" s="38"/>
      <c r="E1297" s="39" t="s">
        <v>1454</v>
      </c>
      <c r="F1297" s="39" t="s">
        <v>1594</v>
      </c>
      <c r="G1297" s="44">
        <v>0.1</v>
      </c>
      <c r="H1297" s="39" t="s">
        <v>101</v>
      </c>
      <c r="I1297" s="39" t="s">
        <v>102</v>
      </c>
      <c r="J1297" s="41">
        <v>4000</v>
      </c>
      <c r="K1297" s="42">
        <v>27.9</v>
      </c>
      <c r="L1297" s="43"/>
      <c r="M1297" s="43">
        <f>L1297*K1297</f>
        <v>0</v>
      </c>
      <c r="N1297" s="35">
        <v>4607015188417</v>
      </c>
    </row>
    <row r="1298" spans="1:14" ht="36" customHeight="1" outlineLevel="3" x14ac:dyDescent="0.2">
      <c r="A1298" s="36" t="s">
        <v>1595</v>
      </c>
      <c r="B1298" s="37" t="str">
        <f>HYPERLINK("http://www.sedek.ru/upload/iblock/d14/perets_ostryak.jpg","фото")</f>
        <v>фото</v>
      </c>
      <c r="C1298" s="38"/>
      <c r="D1298" s="38"/>
      <c r="E1298" s="39" t="s">
        <v>1447</v>
      </c>
      <c r="F1298" s="39" t="s">
        <v>1596</v>
      </c>
      <c r="G1298" s="44">
        <v>0.1</v>
      </c>
      <c r="H1298" s="39" t="s">
        <v>101</v>
      </c>
      <c r="I1298" s="39" t="s">
        <v>102</v>
      </c>
      <c r="J1298" s="41">
        <v>5000</v>
      </c>
      <c r="K1298" s="42">
        <v>26.6</v>
      </c>
      <c r="L1298" s="43"/>
      <c r="M1298" s="43">
        <f>L1298*K1298</f>
        <v>0</v>
      </c>
      <c r="N1298" s="35">
        <v>4690368037167</v>
      </c>
    </row>
    <row r="1299" spans="1:14" ht="36" customHeight="1" outlineLevel="3" x14ac:dyDescent="0.2">
      <c r="A1299" s="45">
        <v>13858</v>
      </c>
      <c r="B1299" s="37" t="str">
        <f>HYPERLINK("http://www.sedek.ru/upload/iblock/20a/perets_pavlina.jpg","фото")</f>
        <v>фото</v>
      </c>
      <c r="C1299" s="38"/>
      <c r="D1299" s="38"/>
      <c r="E1299" s="39"/>
      <c r="F1299" s="39" t="s">
        <v>1597</v>
      </c>
      <c r="G1299" s="44">
        <v>0.3</v>
      </c>
      <c r="H1299" s="39" t="s">
        <v>101</v>
      </c>
      <c r="I1299" s="39" t="s">
        <v>102</v>
      </c>
      <c r="J1299" s="41">
        <v>3000</v>
      </c>
      <c r="K1299" s="42">
        <v>20.5</v>
      </c>
      <c r="L1299" s="43"/>
      <c r="M1299" s="43">
        <f>L1299*K1299</f>
        <v>0</v>
      </c>
      <c r="N1299" s="35">
        <v>4607015185195</v>
      </c>
    </row>
    <row r="1300" spans="1:14" ht="36" customHeight="1" outlineLevel="3" x14ac:dyDescent="0.2">
      <c r="A1300" s="45">
        <v>13645</v>
      </c>
      <c r="B1300" s="37" t="str">
        <f>HYPERLINK("http://sedek.ru/upload/iblock/b7c/perets_parnikovyy_ultraskorospelyy.jpg","фото")</f>
        <v>фото</v>
      </c>
      <c r="C1300" s="38"/>
      <c r="D1300" s="38" t="s">
        <v>266</v>
      </c>
      <c r="E1300" s="39"/>
      <c r="F1300" s="39" t="s">
        <v>1598</v>
      </c>
      <c r="G1300" s="44">
        <v>0.1</v>
      </c>
      <c r="H1300" s="39" t="s">
        <v>101</v>
      </c>
      <c r="I1300" s="39" t="s">
        <v>102</v>
      </c>
      <c r="J1300" s="41">
        <v>4000</v>
      </c>
      <c r="K1300" s="42">
        <v>20.5</v>
      </c>
      <c r="L1300" s="43"/>
      <c r="M1300" s="43">
        <f>L1300*K1300</f>
        <v>0</v>
      </c>
      <c r="N1300" s="35">
        <v>4690368022132</v>
      </c>
    </row>
    <row r="1301" spans="1:14" ht="36" customHeight="1" outlineLevel="3" x14ac:dyDescent="0.2">
      <c r="A1301" s="36" t="s">
        <v>1599</v>
      </c>
      <c r="B1301" s="37" t="str">
        <f>HYPERLINK("http://sedek.ru/upload/iblock/385/perets_parnichok_smes.jpg","фото")</f>
        <v>фото</v>
      </c>
      <c r="C1301" s="38"/>
      <c r="D1301" s="38"/>
      <c r="E1301" s="39"/>
      <c r="F1301" s="39" t="s">
        <v>1600</v>
      </c>
      <c r="G1301" s="44">
        <v>0.2</v>
      </c>
      <c r="H1301" s="39" t="s">
        <v>101</v>
      </c>
      <c r="I1301" s="39" t="s">
        <v>102</v>
      </c>
      <c r="J1301" s="41">
        <v>4000</v>
      </c>
      <c r="K1301" s="42">
        <v>20.5</v>
      </c>
      <c r="L1301" s="43"/>
      <c r="M1301" s="43">
        <f>L1301*K1301</f>
        <v>0</v>
      </c>
      <c r="N1301" s="35">
        <v>4690368026420</v>
      </c>
    </row>
    <row r="1302" spans="1:14" ht="36" customHeight="1" outlineLevel="3" x14ac:dyDescent="0.2">
      <c r="A1302" s="45">
        <v>15139</v>
      </c>
      <c r="B1302" s="37" t="str">
        <f>HYPERLINK("http://www.sedek.ru/upload/iblock/225/perets_pafos_f1.jpg","фото")</f>
        <v>фото</v>
      </c>
      <c r="C1302" s="38"/>
      <c r="D1302" s="38"/>
      <c r="E1302" s="39"/>
      <c r="F1302" s="39" t="s">
        <v>1601</v>
      </c>
      <c r="G1302" s="44">
        <v>0.1</v>
      </c>
      <c r="H1302" s="39" t="s">
        <v>101</v>
      </c>
      <c r="I1302" s="39" t="s">
        <v>102</v>
      </c>
      <c r="J1302" s="41">
        <v>4000</v>
      </c>
      <c r="K1302" s="42">
        <v>19.5</v>
      </c>
      <c r="L1302" s="43"/>
      <c r="M1302" s="43">
        <f>L1302*K1302</f>
        <v>0</v>
      </c>
      <c r="N1302" s="35">
        <v>4607116267493</v>
      </c>
    </row>
    <row r="1303" spans="1:14" ht="36" customHeight="1" outlineLevel="3" x14ac:dyDescent="0.2">
      <c r="A1303" s="45">
        <v>14430</v>
      </c>
      <c r="B1303" s="37" t="str">
        <f>HYPERLINK("http://sedek.ru/upload/iblock/127/perets_petrovich_f1.jpg","фото")</f>
        <v>фото</v>
      </c>
      <c r="C1303" s="38"/>
      <c r="D1303" s="38"/>
      <c r="E1303" s="39" t="s">
        <v>1447</v>
      </c>
      <c r="F1303" s="39" t="s">
        <v>1602</v>
      </c>
      <c r="G1303" s="44">
        <v>0.1</v>
      </c>
      <c r="H1303" s="39" t="s">
        <v>101</v>
      </c>
      <c r="I1303" s="39" t="s">
        <v>102</v>
      </c>
      <c r="J1303" s="41">
        <v>4000</v>
      </c>
      <c r="K1303" s="42">
        <v>23.9</v>
      </c>
      <c r="L1303" s="43"/>
      <c r="M1303" s="43">
        <f>L1303*K1303</f>
        <v>0</v>
      </c>
      <c r="N1303" s="35">
        <v>4690368019637</v>
      </c>
    </row>
    <row r="1304" spans="1:14" ht="36" customHeight="1" outlineLevel="3" x14ac:dyDescent="0.2">
      <c r="A1304" s="45">
        <v>15259</v>
      </c>
      <c r="B1304" s="37" t="str">
        <f>HYPERLINK("http://www.sedek.ru/upload/iblock/955/perets_pigmalion_f1.jpg","фото")</f>
        <v>фото</v>
      </c>
      <c r="C1304" s="38"/>
      <c r="D1304" s="38"/>
      <c r="E1304" s="39" t="s">
        <v>1435</v>
      </c>
      <c r="F1304" s="39" t="s">
        <v>1603</v>
      </c>
      <c r="G1304" s="44">
        <v>0.1</v>
      </c>
      <c r="H1304" s="39" t="s">
        <v>101</v>
      </c>
      <c r="I1304" s="39" t="s">
        <v>102</v>
      </c>
      <c r="J1304" s="41">
        <v>4000</v>
      </c>
      <c r="K1304" s="42">
        <v>22.7</v>
      </c>
      <c r="L1304" s="43"/>
      <c r="M1304" s="43">
        <f>L1304*K1304</f>
        <v>0</v>
      </c>
      <c r="N1304" s="35">
        <v>4607015188431</v>
      </c>
    </row>
    <row r="1305" spans="1:14" ht="36" customHeight="1" outlineLevel="3" x14ac:dyDescent="0.2">
      <c r="A1305" s="45">
        <v>13563</v>
      </c>
      <c r="B1305" s="37" t="str">
        <f>HYPERLINK("http://sedek.ru/upload/iblock/1e7/perets_plamya_smes_sortov.jpg","фото")</f>
        <v>фото</v>
      </c>
      <c r="C1305" s="38"/>
      <c r="D1305" s="38"/>
      <c r="E1305" s="39" t="s">
        <v>1447</v>
      </c>
      <c r="F1305" s="39" t="s">
        <v>1604</v>
      </c>
      <c r="G1305" s="44">
        <v>0.2</v>
      </c>
      <c r="H1305" s="39" t="s">
        <v>101</v>
      </c>
      <c r="I1305" s="39" t="s">
        <v>102</v>
      </c>
      <c r="J1305" s="41">
        <v>4000</v>
      </c>
      <c r="K1305" s="42">
        <v>20.5</v>
      </c>
      <c r="L1305" s="43"/>
      <c r="M1305" s="43">
        <f>L1305*K1305</f>
        <v>0</v>
      </c>
      <c r="N1305" s="35">
        <v>4690368011907</v>
      </c>
    </row>
    <row r="1306" spans="1:14" ht="36" customHeight="1" outlineLevel="3" x14ac:dyDescent="0.2">
      <c r="A1306" s="45">
        <v>15361</v>
      </c>
      <c r="B1306" s="37" t="str">
        <f>HYPERLINK("http://www.sedek.ru/upload/iblock/d9a/perets_podarok_moldovy.jpg","фото")</f>
        <v>фото</v>
      </c>
      <c r="C1306" s="38"/>
      <c r="D1306" s="38"/>
      <c r="E1306" s="39"/>
      <c r="F1306" s="39" t="s">
        <v>1605</v>
      </c>
      <c r="G1306" s="44">
        <v>0.2</v>
      </c>
      <c r="H1306" s="39" t="s">
        <v>101</v>
      </c>
      <c r="I1306" s="39" t="s">
        <v>102</v>
      </c>
      <c r="J1306" s="41">
        <v>4000</v>
      </c>
      <c r="K1306" s="42">
        <v>15.6</v>
      </c>
      <c r="L1306" s="43"/>
      <c r="M1306" s="43">
        <f>L1306*K1306</f>
        <v>0</v>
      </c>
      <c r="N1306" s="35">
        <v>4607015188448</v>
      </c>
    </row>
    <row r="1307" spans="1:14" ht="36" customHeight="1" outlineLevel="3" x14ac:dyDescent="0.2">
      <c r="A1307" s="36" t="s">
        <v>1606</v>
      </c>
      <c r="B1307" s="37" t="str">
        <f>HYPERLINK("http://www.sedek.ru/upload/iblock/a08/perets_polet.jpg","фото")</f>
        <v>фото</v>
      </c>
      <c r="C1307" s="38"/>
      <c r="D1307" s="38"/>
      <c r="E1307" s="39"/>
      <c r="F1307" s="39" t="s">
        <v>1607</v>
      </c>
      <c r="G1307" s="44">
        <v>0.1</v>
      </c>
      <c r="H1307" s="39" t="s">
        <v>101</v>
      </c>
      <c r="I1307" s="39" t="s">
        <v>102</v>
      </c>
      <c r="J1307" s="41">
        <v>4000</v>
      </c>
      <c r="K1307" s="42">
        <v>20.5</v>
      </c>
      <c r="L1307" s="43"/>
      <c r="M1307" s="43">
        <f>L1307*K1307</f>
        <v>0</v>
      </c>
      <c r="N1307" s="35">
        <v>4690368033992</v>
      </c>
    </row>
    <row r="1308" spans="1:14" ht="36" customHeight="1" outlineLevel="3" x14ac:dyDescent="0.2">
      <c r="A1308" s="45">
        <v>15349</v>
      </c>
      <c r="B1308" s="37" t="str">
        <f>HYPERLINK("http://sedek.ru/upload/iblock/2c4/perets_ponchik_f1.jpg","фото")</f>
        <v>фото</v>
      </c>
      <c r="C1308" s="38"/>
      <c r="D1308" s="38"/>
      <c r="E1308" s="39"/>
      <c r="F1308" s="39" t="s">
        <v>1608</v>
      </c>
      <c r="G1308" s="44">
        <v>0.1</v>
      </c>
      <c r="H1308" s="39" t="s">
        <v>101</v>
      </c>
      <c r="I1308" s="39" t="s">
        <v>102</v>
      </c>
      <c r="J1308" s="41">
        <v>4000</v>
      </c>
      <c r="K1308" s="42">
        <v>20.5</v>
      </c>
      <c r="L1308" s="43"/>
      <c r="M1308" s="43">
        <f>L1308*K1308</f>
        <v>0</v>
      </c>
      <c r="N1308" s="35">
        <v>4607015185201</v>
      </c>
    </row>
    <row r="1309" spans="1:14" ht="36" customHeight="1" outlineLevel="3" x14ac:dyDescent="0.2">
      <c r="A1309" s="36" t="s">
        <v>1609</v>
      </c>
      <c r="B1309" s="37" t="str">
        <f>HYPERLINK("http://www.sedek.ru/upload/iblock/59b/perets_puli_kapone_f1.jpg","фото")</f>
        <v>фото</v>
      </c>
      <c r="C1309" s="38" t="s">
        <v>266</v>
      </c>
      <c r="D1309" s="38" t="s">
        <v>266</v>
      </c>
      <c r="E1309" s="39" t="s">
        <v>1610</v>
      </c>
      <c r="F1309" s="39" t="s">
        <v>1611</v>
      </c>
      <c r="G1309" s="40">
        <v>6</v>
      </c>
      <c r="H1309" s="39" t="s">
        <v>307</v>
      </c>
      <c r="I1309" s="39" t="s">
        <v>102</v>
      </c>
      <c r="J1309" s="41">
        <v>4000</v>
      </c>
      <c r="K1309" s="42">
        <v>42.3</v>
      </c>
      <c r="L1309" s="43"/>
      <c r="M1309" s="43">
        <f>L1309*K1309</f>
        <v>0</v>
      </c>
      <c r="N1309" s="35">
        <v>4690368037198</v>
      </c>
    </row>
    <row r="1310" spans="1:14" ht="36" customHeight="1" outlineLevel="3" x14ac:dyDescent="0.2">
      <c r="A1310" s="45">
        <v>13771</v>
      </c>
      <c r="B1310" s="37" t="str">
        <f>HYPERLINK("http://sedek.ru/upload/iblock/e3f/perets_pyshka.jpg","фото")</f>
        <v>фото</v>
      </c>
      <c r="C1310" s="38"/>
      <c r="D1310" s="38"/>
      <c r="E1310" s="39"/>
      <c r="F1310" s="39" t="s">
        <v>1612</v>
      </c>
      <c r="G1310" s="44">
        <v>0.1</v>
      </c>
      <c r="H1310" s="39" t="s">
        <v>101</v>
      </c>
      <c r="I1310" s="39" t="s">
        <v>102</v>
      </c>
      <c r="J1310" s="41">
        <v>4000</v>
      </c>
      <c r="K1310" s="42">
        <v>20.5</v>
      </c>
      <c r="L1310" s="43"/>
      <c r="M1310" s="43">
        <f>L1310*K1310</f>
        <v>0</v>
      </c>
      <c r="N1310" s="35">
        <v>4607015188462</v>
      </c>
    </row>
    <row r="1311" spans="1:14" ht="36" customHeight="1" outlineLevel="3" x14ac:dyDescent="0.2">
      <c r="A1311" s="45">
        <v>14502</v>
      </c>
      <c r="B1311" s="37" t="str">
        <f>HYPERLINK("http://sedek.ru/upload/iblock/3ba/perets_pyatitsvet_f1.jpg","фото")</f>
        <v>фото</v>
      </c>
      <c r="C1311" s="38"/>
      <c r="D1311" s="38"/>
      <c r="E1311" s="39"/>
      <c r="F1311" s="39" t="s">
        <v>1613</v>
      </c>
      <c r="G1311" s="54">
        <v>0.15</v>
      </c>
      <c r="H1311" s="39" t="s">
        <v>101</v>
      </c>
      <c r="I1311" s="39" t="s">
        <v>102</v>
      </c>
      <c r="J1311" s="41">
        <v>4000</v>
      </c>
      <c r="K1311" s="42">
        <v>21.2</v>
      </c>
      <c r="L1311" s="43"/>
      <c r="M1311" s="43">
        <f>L1311*K1311</f>
        <v>0</v>
      </c>
      <c r="N1311" s="35">
        <v>4607015188479</v>
      </c>
    </row>
    <row r="1312" spans="1:14" ht="36" customHeight="1" outlineLevel="3" x14ac:dyDescent="0.2">
      <c r="A1312" s="45">
        <v>14792</v>
      </c>
      <c r="B1312" s="37" t="str">
        <f>HYPERLINK("http://sedek.ru/upload/iblock/df7/perets_romeo_f1.jpg","фото")</f>
        <v>фото</v>
      </c>
      <c r="C1312" s="38"/>
      <c r="D1312" s="38" t="s">
        <v>266</v>
      </c>
      <c r="E1312" s="39"/>
      <c r="F1312" s="39" t="s">
        <v>1614</v>
      </c>
      <c r="G1312" s="44">
        <v>0.1</v>
      </c>
      <c r="H1312" s="39" t="s">
        <v>101</v>
      </c>
      <c r="I1312" s="39" t="s">
        <v>102</v>
      </c>
      <c r="J1312" s="41">
        <v>4000</v>
      </c>
      <c r="K1312" s="42">
        <v>25.3</v>
      </c>
      <c r="L1312" s="43"/>
      <c r="M1312" s="43">
        <f>L1312*K1312</f>
        <v>0</v>
      </c>
      <c r="N1312" s="35">
        <v>4607015185218</v>
      </c>
    </row>
    <row r="1313" spans="1:14" ht="36" customHeight="1" outlineLevel="3" x14ac:dyDescent="0.2">
      <c r="A1313" s="45">
        <v>15433</v>
      </c>
      <c r="B1313" s="37" t="str">
        <f>HYPERLINK("http://sedek.ru/upload/iblock/4f9/perets_samorodok_f1.jpg","фото")</f>
        <v>фото</v>
      </c>
      <c r="C1313" s="38"/>
      <c r="D1313" s="38"/>
      <c r="E1313" s="39"/>
      <c r="F1313" s="39" t="s">
        <v>1615</v>
      </c>
      <c r="G1313" s="44">
        <v>0.2</v>
      </c>
      <c r="H1313" s="39" t="s">
        <v>101</v>
      </c>
      <c r="I1313" s="39" t="s">
        <v>102</v>
      </c>
      <c r="J1313" s="41">
        <v>4000</v>
      </c>
      <c r="K1313" s="42">
        <v>23.9</v>
      </c>
      <c r="L1313" s="43"/>
      <c r="M1313" s="43">
        <f>L1313*K1313</f>
        <v>0</v>
      </c>
      <c r="N1313" s="35">
        <v>4607015185225</v>
      </c>
    </row>
    <row r="1314" spans="1:14" ht="36" customHeight="1" outlineLevel="3" x14ac:dyDescent="0.2">
      <c r="A1314" s="45">
        <v>15433</v>
      </c>
      <c r="B1314" s="37" t="str">
        <f>HYPERLINK("http://sedek.ru/upload/iblock/4f9/perets_samorodok_f1.jpg","фото")</f>
        <v>фото</v>
      </c>
      <c r="C1314" s="38"/>
      <c r="D1314" s="38"/>
      <c r="E1314" s="39"/>
      <c r="F1314" s="39" t="s">
        <v>1616</v>
      </c>
      <c r="G1314" s="44">
        <v>0.2</v>
      </c>
      <c r="H1314" s="39" t="s">
        <v>101</v>
      </c>
      <c r="I1314" s="39" t="s">
        <v>287</v>
      </c>
      <c r="J1314" s="41">
        <v>4000</v>
      </c>
      <c r="K1314" s="42">
        <v>12.4</v>
      </c>
      <c r="L1314" s="43"/>
      <c r="M1314" s="43">
        <f>L1314*K1314</f>
        <v>0</v>
      </c>
      <c r="N1314" s="35">
        <v>4607149402519</v>
      </c>
    </row>
    <row r="1315" spans="1:14" ht="36" customHeight="1" outlineLevel="3" x14ac:dyDescent="0.2">
      <c r="A1315" s="45">
        <v>13650</v>
      </c>
      <c r="B1315" s="37" t="str">
        <f>HYPERLINK("http://sedek.ru/upload/iblock/47a/perets_samorodok_vostoka_f1.jpg","фото")</f>
        <v>фото</v>
      </c>
      <c r="C1315" s="38"/>
      <c r="D1315" s="38" t="s">
        <v>266</v>
      </c>
      <c r="E1315" s="39"/>
      <c r="F1315" s="39" t="s">
        <v>1617</v>
      </c>
      <c r="G1315" s="44">
        <v>0.1</v>
      </c>
      <c r="H1315" s="39" t="s">
        <v>101</v>
      </c>
      <c r="I1315" s="39" t="s">
        <v>102</v>
      </c>
      <c r="J1315" s="41">
        <v>4000</v>
      </c>
      <c r="K1315" s="42">
        <v>21.6</v>
      </c>
      <c r="L1315" s="43"/>
      <c r="M1315" s="43">
        <f>L1315*K1315</f>
        <v>0</v>
      </c>
      <c r="N1315" s="35">
        <v>4690368022149</v>
      </c>
    </row>
    <row r="1316" spans="1:14" ht="36" customHeight="1" outlineLevel="3" x14ac:dyDescent="0.2">
      <c r="A1316" s="45">
        <v>16971</v>
      </c>
      <c r="B1316" s="37" t="str">
        <f>HYPERLINK("http://www.sedek.ru/upload/iblock/794/perets_samorodok_zolotoy_f1.jpg","фото")</f>
        <v>фото</v>
      </c>
      <c r="C1316" s="38"/>
      <c r="D1316" s="38"/>
      <c r="E1316" s="39"/>
      <c r="F1316" s="39" t="s">
        <v>1618</v>
      </c>
      <c r="G1316" s="44">
        <v>0.1</v>
      </c>
      <c r="H1316" s="39" t="s">
        <v>101</v>
      </c>
      <c r="I1316" s="39" t="s">
        <v>102</v>
      </c>
      <c r="J1316" s="41">
        <v>4000</v>
      </c>
      <c r="K1316" s="42">
        <v>20.5</v>
      </c>
      <c r="L1316" s="43"/>
      <c r="M1316" s="43">
        <f>L1316*K1316</f>
        <v>0</v>
      </c>
      <c r="N1316" s="35">
        <v>4690368014984</v>
      </c>
    </row>
    <row r="1317" spans="1:14" ht="36" customHeight="1" outlineLevel="3" x14ac:dyDescent="0.2">
      <c r="A1317" s="45">
        <v>13637</v>
      </c>
      <c r="B1317" s="37" t="str">
        <f>HYPERLINK("http://sedek.ru/upload/iblock/b56/perets_skorospelka.jpg","фото")</f>
        <v>фото</v>
      </c>
      <c r="C1317" s="38"/>
      <c r="D1317" s="38"/>
      <c r="E1317" s="39"/>
      <c r="F1317" s="39" t="s">
        <v>1619</v>
      </c>
      <c r="G1317" s="44">
        <v>0.1</v>
      </c>
      <c r="H1317" s="39" t="s">
        <v>101</v>
      </c>
      <c r="I1317" s="39" t="s">
        <v>102</v>
      </c>
      <c r="J1317" s="41">
        <v>4000</v>
      </c>
      <c r="K1317" s="42">
        <v>20.5</v>
      </c>
      <c r="L1317" s="43"/>
      <c r="M1317" s="43">
        <f>L1317*K1317</f>
        <v>0</v>
      </c>
      <c r="N1317" s="35">
        <v>4690368022156</v>
      </c>
    </row>
    <row r="1318" spans="1:14" ht="36" customHeight="1" outlineLevel="3" x14ac:dyDescent="0.2">
      <c r="A1318" s="45">
        <v>13571</v>
      </c>
      <c r="B1318" s="37" t="str">
        <f>HYPERLINK("http://sedek.ru/upload/iblock/923/perets_slivki_zhyeltye.jpg","фото")</f>
        <v>фото</v>
      </c>
      <c r="C1318" s="38"/>
      <c r="D1318" s="38"/>
      <c r="E1318" s="39"/>
      <c r="F1318" s="39" t="s">
        <v>1620</v>
      </c>
      <c r="G1318" s="54">
        <v>0.05</v>
      </c>
      <c r="H1318" s="39" t="s">
        <v>101</v>
      </c>
      <c r="I1318" s="39" t="s">
        <v>102</v>
      </c>
      <c r="J1318" s="41">
        <v>5000</v>
      </c>
      <c r="K1318" s="42">
        <v>25.3</v>
      </c>
      <c r="L1318" s="43"/>
      <c r="M1318" s="43">
        <f>L1318*K1318</f>
        <v>0</v>
      </c>
      <c r="N1318" s="35">
        <v>4607149400010</v>
      </c>
    </row>
    <row r="1319" spans="1:14" ht="48" customHeight="1" outlineLevel="3" x14ac:dyDescent="0.2">
      <c r="A1319" s="45">
        <v>14690</v>
      </c>
      <c r="B1319" s="37" t="str">
        <f>HYPERLINK("http://www.sedek.ru/upload/iblock/432/perets_slivki_krasnye.jpg","фото")</f>
        <v>фото</v>
      </c>
      <c r="C1319" s="38"/>
      <c r="D1319" s="38"/>
      <c r="E1319" s="39"/>
      <c r="F1319" s="39" t="s">
        <v>1621</v>
      </c>
      <c r="G1319" s="54">
        <v>0.05</v>
      </c>
      <c r="H1319" s="39" t="s">
        <v>101</v>
      </c>
      <c r="I1319" s="39" t="s">
        <v>102</v>
      </c>
      <c r="J1319" s="41">
        <v>5000</v>
      </c>
      <c r="K1319" s="42">
        <v>25.3</v>
      </c>
      <c r="L1319" s="43"/>
      <c r="M1319" s="43">
        <f>L1319*K1319</f>
        <v>0</v>
      </c>
      <c r="N1319" s="35">
        <v>4690368010153</v>
      </c>
    </row>
    <row r="1320" spans="1:14" ht="48" customHeight="1" outlineLevel="3" x14ac:dyDescent="0.2">
      <c r="A1320" s="45">
        <v>31555</v>
      </c>
      <c r="B1320" s="37" t="str">
        <f>HYPERLINK("http://www.sedek.ru/upload/iblock/561/perets_derevo_sprut_novogodniy_f1.jpg","Фото")</f>
        <v>Фото</v>
      </c>
      <c r="C1320" s="38"/>
      <c r="D1320" s="38"/>
      <c r="E1320" s="39" t="s">
        <v>1447</v>
      </c>
      <c r="F1320" s="39" t="s">
        <v>1622</v>
      </c>
      <c r="G1320" s="54">
        <v>0.05</v>
      </c>
      <c r="H1320" s="39" t="s">
        <v>101</v>
      </c>
      <c r="I1320" s="39" t="s">
        <v>102</v>
      </c>
      <c r="J1320" s="41">
        <v>5000</v>
      </c>
      <c r="K1320" s="42">
        <v>59.1</v>
      </c>
      <c r="L1320" s="43"/>
      <c r="M1320" s="43">
        <f>L1320*K1320</f>
        <v>0</v>
      </c>
      <c r="N1320" s="35">
        <v>4690368026277</v>
      </c>
    </row>
    <row r="1321" spans="1:14" ht="36" customHeight="1" outlineLevel="3" x14ac:dyDescent="0.2">
      <c r="A1321" s="45">
        <v>15676</v>
      </c>
      <c r="B1321" s="37" t="str">
        <f>HYPERLINK("http://www.sedek.ru/upload/iblock/dae/perets_suvenir.jpg","фото")</f>
        <v>фото</v>
      </c>
      <c r="C1321" s="38"/>
      <c r="D1321" s="38"/>
      <c r="E1321" s="39" t="s">
        <v>1454</v>
      </c>
      <c r="F1321" s="39" t="s">
        <v>1623</v>
      </c>
      <c r="G1321" s="44">
        <v>0.2</v>
      </c>
      <c r="H1321" s="39" t="s">
        <v>101</v>
      </c>
      <c r="I1321" s="39" t="s">
        <v>102</v>
      </c>
      <c r="J1321" s="41">
        <v>4000</v>
      </c>
      <c r="K1321" s="42">
        <v>20.5</v>
      </c>
      <c r="L1321" s="43"/>
      <c r="M1321" s="43">
        <f>L1321*K1321</f>
        <v>0</v>
      </c>
      <c r="N1321" s="35">
        <v>4607015188523</v>
      </c>
    </row>
    <row r="1322" spans="1:14" ht="36" customHeight="1" outlineLevel="3" x14ac:dyDescent="0.2">
      <c r="A1322" s="45">
        <v>15955</v>
      </c>
      <c r="B1322" s="37" t="str">
        <f>HYPERLINK("http://www.sedek.ru/upload/iblock/6d3/perets_tyeshcha_lyubeznaya.jpg","фото")</f>
        <v>фото</v>
      </c>
      <c r="C1322" s="38"/>
      <c r="D1322" s="38" t="s">
        <v>266</v>
      </c>
      <c r="E1322" s="39"/>
      <c r="F1322" s="39" t="s">
        <v>1624</v>
      </c>
      <c r="G1322" s="44">
        <v>0.1</v>
      </c>
      <c r="H1322" s="39" t="s">
        <v>101</v>
      </c>
      <c r="I1322" s="39" t="s">
        <v>102</v>
      </c>
      <c r="J1322" s="41">
        <v>4000</v>
      </c>
      <c r="K1322" s="42">
        <v>20.5</v>
      </c>
      <c r="L1322" s="43"/>
      <c r="M1322" s="43">
        <f>L1322*K1322</f>
        <v>0</v>
      </c>
      <c r="N1322" s="35">
        <v>4607149404872</v>
      </c>
    </row>
    <row r="1323" spans="1:14" ht="36" customHeight="1" outlineLevel="3" x14ac:dyDescent="0.2">
      <c r="A1323" s="45">
        <v>16481</v>
      </c>
      <c r="B1323" s="37" t="str">
        <f>HYPERLINK("http://sedek.ru/upload/iblock/4c7/perets_titan.jpg","фото")</f>
        <v>фото</v>
      </c>
      <c r="C1323" s="38"/>
      <c r="D1323" s="38"/>
      <c r="E1323" s="39" t="s">
        <v>1435</v>
      </c>
      <c r="F1323" s="39" t="s">
        <v>1625</v>
      </c>
      <c r="G1323" s="44">
        <v>0.1</v>
      </c>
      <c r="H1323" s="39" t="s">
        <v>101</v>
      </c>
      <c r="I1323" s="39" t="s">
        <v>102</v>
      </c>
      <c r="J1323" s="41">
        <v>4000</v>
      </c>
      <c r="K1323" s="42">
        <v>21.4</v>
      </c>
      <c r="L1323" s="43"/>
      <c r="M1323" s="43">
        <f>L1323*K1323</f>
        <v>0</v>
      </c>
      <c r="N1323" s="35">
        <v>4607116266885</v>
      </c>
    </row>
    <row r="1324" spans="1:14" ht="36" customHeight="1" outlineLevel="3" x14ac:dyDescent="0.2">
      <c r="A1324" s="45">
        <v>13749</v>
      </c>
      <c r="B1324" s="37" t="str">
        <f>HYPERLINK("http://sedek.ru/upload/iblock/2f5/perets_tolstyak_f1.jpg","фото")</f>
        <v>фото</v>
      </c>
      <c r="C1324" s="38"/>
      <c r="D1324" s="38"/>
      <c r="E1324" s="39"/>
      <c r="F1324" s="39" t="s">
        <v>1626</v>
      </c>
      <c r="G1324" s="44">
        <v>0.1</v>
      </c>
      <c r="H1324" s="39" t="s">
        <v>101</v>
      </c>
      <c r="I1324" s="39" t="s">
        <v>102</v>
      </c>
      <c r="J1324" s="41">
        <v>4000</v>
      </c>
      <c r="K1324" s="42">
        <v>22.6</v>
      </c>
      <c r="L1324" s="43"/>
      <c r="M1324" s="43">
        <f>L1324*K1324</f>
        <v>0</v>
      </c>
      <c r="N1324" s="35">
        <v>4607015188554</v>
      </c>
    </row>
    <row r="1325" spans="1:14" ht="36" customHeight="1" outlineLevel="3" x14ac:dyDescent="0.2">
      <c r="A1325" s="45">
        <v>14431</v>
      </c>
      <c r="B1325" s="37" t="str">
        <f>HYPERLINK("http://sedek.ru/upload/iblock/4d2/perets_tolstyak_sedek_f1.jpg","фото")</f>
        <v>фото</v>
      </c>
      <c r="C1325" s="38"/>
      <c r="D1325" s="38"/>
      <c r="E1325" s="39"/>
      <c r="F1325" s="39" t="s">
        <v>1627</v>
      </c>
      <c r="G1325" s="44">
        <v>0.1</v>
      </c>
      <c r="H1325" s="39" t="s">
        <v>101</v>
      </c>
      <c r="I1325" s="39" t="s">
        <v>102</v>
      </c>
      <c r="J1325" s="41">
        <v>4000</v>
      </c>
      <c r="K1325" s="42">
        <v>21</v>
      </c>
      <c r="L1325" s="43"/>
      <c r="M1325" s="43">
        <f>L1325*K1325</f>
        <v>0</v>
      </c>
      <c r="N1325" s="35">
        <v>4690368019750</v>
      </c>
    </row>
    <row r="1326" spans="1:14" ht="36" customHeight="1" outlineLevel="3" x14ac:dyDescent="0.2">
      <c r="A1326" s="36" t="s">
        <v>1628</v>
      </c>
      <c r="B1326" s="37" t="str">
        <f>HYPERLINK("http://www.sedek.ru/upload/iblock/03e/perets_topik_f1.jpg","фото")</f>
        <v>фото</v>
      </c>
      <c r="C1326" s="38"/>
      <c r="D1326" s="38"/>
      <c r="E1326" s="39" t="s">
        <v>1447</v>
      </c>
      <c r="F1326" s="39" t="s">
        <v>1629</v>
      </c>
      <c r="G1326" s="40">
        <v>6</v>
      </c>
      <c r="H1326" s="39" t="s">
        <v>307</v>
      </c>
      <c r="I1326" s="39" t="s">
        <v>102</v>
      </c>
      <c r="J1326" s="41">
        <v>4000</v>
      </c>
      <c r="K1326" s="42">
        <v>96.5</v>
      </c>
      <c r="L1326" s="43"/>
      <c r="M1326" s="43">
        <f>L1326*K1326</f>
        <v>0</v>
      </c>
      <c r="N1326" s="35">
        <v>4690368035569</v>
      </c>
    </row>
    <row r="1327" spans="1:14" ht="36" customHeight="1" outlineLevel="3" x14ac:dyDescent="0.2">
      <c r="A1327" s="45">
        <v>16462</v>
      </c>
      <c r="B1327" s="37" t="str">
        <f>HYPERLINK("http://sedek.ru/upload/iblock/7ea/perets_topolin.jpg","фото")</f>
        <v>фото</v>
      </c>
      <c r="C1327" s="38"/>
      <c r="D1327" s="38"/>
      <c r="E1327" s="39"/>
      <c r="F1327" s="39" t="s">
        <v>1630</v>
      </c>
      <c r="G1327" s="44">
        <v>0.3</v>
      </c>
      <c r="H1327" s="39" t="s">
        <v>101</v>
      </c>
      <c r="I1327" s="39" t="s">
        <v>102</v>
      </c>
      <c r="J1327" s="41">
        <v>3000</v>
      </c>
      <c r="K1327" s="42">
        <v>16.899999999999999</v>
      </c>
      <c r="L1327" s="43"/>
      <c r="M1327" s="43">
        <f>L1327*K1327</f>
        <v>0</v>
      </c>
      <c r="N1327" s="35">
        <v>4607015188561</v>
      </c>
    </row>
    <row r="1328" spans="1:14" ht="36" customHeight="1" outlineLevel="3" x14ac:dyDescent="0.2">
      <c r="A1328" s="36" t="s">
        <v>1631</v>
      </c>
      <c r="B1328" s="37" t="str">
        <f>HYPERLINK("https://www.sedek.ru/upload/iblock/2bf/perets_ostryy_trinidad_skorpion_moruga_zhyeltyy.jpg","фото")</f>
        <v>фото</v>
      </c>
      <c r="C1328" s="38" t="s">
        <v>266</v>
      </c>
      <c r="D1328" s="38"/>
      <c r="E1328" s="39" t="s">
        <v>1445</v>
      </c>
      <c r="F1328" s="39" t="s">
        <v>1632</v>
      </c>
      <c r="G1328" s="40">
        <v>5</v>
      </c>
      <c r="H1328" s="39"/>
      <c r="I1328" s="39" t="s">
        <v>102</v>
      </c>
      <c r="J1328" s="41">
        <v>4000</v>
      </c>
      <c r="K1328" s="42">
        <v>167.7</v>
      </c>
      <c r="L1328" s="43"/>
      <c r="M1328" s="43">
        <f>L1328*K1328</f>
        <v>0</v>
      </c>
      <c r="N1328" s="35">
        <v>4690368044516</v>
      </c>
    </row>
    <row r="1329" spans="1:14" ht="36" customHeight="1" outlineLevel="3" x14ac:dyDescent="0.2">
      <c r="A1329" s="36" t="s">
        <v>1633</v>
      </c>
      <c r="B1329" s="37" t="str">
        <f>HYPERLINK("https://www.sedek.ru/upload/iblock/e5d/perets_ostryy_trinidad_skorpion_moruga_krasnyy.jpg","фото")</f>
        <v>фото</v>
      </c>
      <c r="C1329" s="38" t="s">
        <v>266</v>
      </c>
      <c r="D1329" s="38" t="s">
        <v>266</v>
      </c>
      <c r="E1329" s="39" t="s">
        <v>1445</v>
      </c>
      <c r="F1329" s="39" t="s">
        <v>1634</v>
      </c>
      <c r="G1329" s="40">
        <v>5</v>
      </c>
      <c r="H1329" s="39"/>
      <c r="I1329" s="39" t="s">
        <v>102</v>
      </c>
      <c r="J1329" s="41">
        <v>4000</v>
      </c>
      <c r="K1329" s="42">
        <v>167.7</v>
      </c>
      <c r="L1329" s="43"/>
      <c r="M1329" s="43">
        <f>L1329*K1329</f>
        <v>0</v>
      </c>
      <c r="N1329" s="35">
        <v>4690368037976</v>
      </c>
    </row>
    <row r="1330" spans="1:14" ht="48" customHeight="1" outlineLevel="3" x14ac:dyDescent="0.2">
      <c r="A1330" s="36" t="s">
        <v>1635</v>
      </c>
      <c r="B1330" s="37" t="str">
        <f>HYPERLINK("https://www.sedek.ru/upload/iblock/928/perets_ostryy_trinidad_skorpion_moruga_oranzhevyy.jpg","фото")</f>
        <v>фото</v>
      </c>
      <c r="C1330" s="38" t="s">
        <v>266</v>
      </c>
      <c r="D1330" s="38"/>
      <c r="E1330" s="39" t="s">
        <v>1445</v>
      </c>
      <c r="F1330" s="39" t="s">
        <v>1636</v>
      </c>
      <c r="G1330" s="40">
        <v>5</v>
      </c>
      <c r="H1330" s="39"/>
      <c r="I1330" s="39" t="s">
        <v>102</v>
      </c>
      <c r="J1330" s="41">
        <v>4000</v>
      </c>
      <c r="K1330" s="42">
        <v>167.7</v>
      </c>
      <c r="L1330" s="43"/>
      <c r="M1330" s="43">
        <f>L1330*K1330</f>
        <v>0</v>
      </c>
      <c r="N1330" s="35">
        <v>4690368042857</v>
      </c>
    </row>
    <row r="1331" spans="1:14" ht="48" customHeight="1" outlineLevel="3" x14ac:dyDescent="0.2">
      <c r="A1331" s="36" t="s">
        <v>1637</v>
      </c>
      <c r="B1331" s="37" t="str">
        <f>HYPERLINK("https://www.sedek.ru/upload/iblock/c1e/perets_ostryy_trinidad_skorpion_moruga_shokoladnyy.jpg","фото")</f>
        <v>фото</v>
      </c>
      <c r="C1331" s="38" t="s">
        <v>266</v>
      </c>
      <c r="D1331" s="38"/>
      <c r="E1331" s="39" t="s">
        <v>1445</v>
      </c>
      <c r="F1331" s="39" t="s">
        <v>1638</v>
      </c>
      <c r="G1331" s="40">
        <v>5</v>
      </c>
      <c r="H1331" s="39"/>
      <c r="I1331" s="39" t="s">
        <v>102</v>
      </c>
      <c r="J1331" s="41">
        <v>4000</v>
      </c>
      <c r="K1331" s="42">
        <v>167.7</v>
      </c>
      <c r="L1331" s="43"/>
      <c r="M1331" s="43">
        <f>L1331*K1331</f>
        <v>0</v>
      </c>
      <c r="N1331" s="35">
        <v>4690368037969</v>
      </c>
    </row>
    <row r="1332" spans="1:14" ht="36" customHeight="1" outlineLevel="3" x14ac:dyDescent="0.2">
      <c r="A1332" s="45">
        <v>13656</v>
      </c>
      <c r="B1332" s="37" t="str">
        <f>HYPERLINK("http://sedek.ru/upload/iblock/ed3/perets_udacha.jpg","фото")</f>
        <v>фото</v>
      </c>
      <c r="C1332" s="38"/>
      <c r="D1332" s="38"/>
      <c r="E1332" s="39" t="s">
        <v>1435</v>
      </c>
      <c r="F1332" s="39" t="s">
        <v>1639</v>
      </c>
      <c r="G1332" s="44">
        <v>0.1</v>
      </c>
      <c r="H1332" s="39" t="s">
        <v>101</v>
      </c>
      <c r="I1332" s="39" t="s">
        <v>102</v>
      </c>
      <c r="J1332" s="41">
        <v>4000</v>
      </c>
      <c r="K1332" s="42">
        <v>20.5</v>
      </c>
      <c r="L1332" s="43"/>
      <c r="M1332" s="43">
        <f>L1332*K1332</f>
        <v>0</v>
      </c>
      <c r="N1332" s="35">
        <v>4690368022163</v>
      </c>
    </row>
    <row r="1333" spans="1:14" ht="36" customHeight="1" outlineLevel="3" x14ac:dyDescent="0.2">
      <c r="A1333" s="55" t="s">
        <v>1640</v>
      </c>
      <c r="B1333" s="47" t="str">
        <f>HYPERLINK("http://sedek.ru/upload/iblock/aae/perets_ultraranniy_buketnyy.jpg","фото")</f>
        <v>фото</v>
      </c>
      <c r="C1333" s="48"/>
      <c r="D1333" s="48"/>
      <c r="E1333" s="49"/>
      <c r="F1333" s="49" t="s">
        <v>1641</v>
      </c>
      <c r="G1333" s="56">
        <v>0.1</v>
      </c>
      <c r="H1333" s="49" t="s">
        <v>101</v>
      </c>
      <c r="I1333" s="49" t="s">
        <v>102</v>
      </c>
      <c r="J1333" s="51">
        <v>4000</v>
      </c>
      <c r="K1333" s="52">
        <v>19.5</v>
      </c>
      <c r="L1333" s="53"/>
      <c r="M1333" s="53">
        <f>L1333*K1333</f>
        <v>0</v>
      </c>
      <c r="N1333" s="35">
        <v>4690368026437</v>
      </c>
    </row>
    <row r="1334" spans="1:14" ht="48" customHeight="1" outlineLevel="3" x14ac:dyDescent="0.2">
      <c r="A1334" s="36" t="s">
        <v>1642</v>
      </c>
      <c r="B1334" s="37" t="str">
        <f>HYPERLINK("http://www.sedek.ru/upload/iblock/bdc/perets_feldmarshal_suvorov_f1_sladkiy.jpg","фото")</f>
        <v>фото</v>
      </c>
      <c r="C1334" s="38"/>
      <c r="D1334" s="38"/>
      <c r="E1334" s="39" t="s">
        <v>1417</v>
      </c>
      <c r="F1334" s="39" t="s">
        <v>1643</v>
      </c>
      <c r="G1334" s="44">
        <v>0.1</v>
      </c>
      <c r="H1334" s="39" t="s">
        <v>101</v>
      </c>
      <c r="I1334" s="39" t="s">
        <v>102</v>
      </c>
      <c r="J1334" s="41">
        <v>4000</v>
      </c>
      <c r="K1334" s="42">
        <v>83.8</v>
      </c>
      <c r="L1334" s="43"/>
      <c r="M1334" s="43">
        <f>L1334*K1334</f>
        <v>0</v>
      </c>
      <c r="N1334" s="35">
        <v>4690368030441</v>
      </c>
    </row>
    <row r="1335" spans="1:14" ht="36" customHeight="1" outlineLevel="3" x14ac:dyDescent="0.2">
      <c r="A1335" s="45">
        <v>15742</v>
      </c>
      <c r="B1335" s="37" t="str">
        <f>HYPERLINK("http://www.sedek.ru/upload/iblock/85e/perets_feniks.jpg","фото")</f>
        <v>фото</v>
      </c>
      <c r="C1335" s="38"/>
      <c r="D1335" s="38"/>
      <c r="E1335" s="39" t="s">
        <v>1454</v>
      </c>
      <c r="F1335" s="39" t="s">
        <v>1644</v>
      </c>
      <c r="G1335" s="54">
        <v>0.15</v>
      </c>
      <c r="H1335" s="39" t="s">
        <v>101</v>
      </c>
      <c r="I1335" s="39" t="s">
        <v>102</v>
      </c>
      <c r="J1335" s="41">
        <v>4000</v>
      </c>
      <c r="K1335" s="42">
        <v>20.5</v>
      </c>
      <c r="L1335" s="43"/>
      <c r="M1335" s="43">
        <f>L1335*K1335</f>
        <v>0</v>
      </c>
      <c r="N1335" s="35">
        <v>4607015188585</v>
      </c>
    </row>
    <row r="1336" spans="1:14" ht="48" customHeight="1" outlineLevel="3" x14ac:dyDescent="0.2">
      <c r="A1336" s="36" t="s">
        <v>1645</v>
      </c>
      <c r="B1336" s="37" t="str">
        <f>HYPERLINK("http://www.sedek.ru/upload/iblock/23b/perets_khabanero_zhyeltyy.jpg","фото")</f>
        <v>фото</v>
      </c>
      <c r="C1336" s="38"/>
      <c r="D1336" s="38"/>
      <c r="E1336" s="39" t="s">
        <v>1610</v>
      </c>
      <c r="F1336" s="39" t="s">
        <v>1646</v>
      </c>
      <c r="G1336" s="40">
        <v>6</v>
      </c>
      <c r="H1336" s="39" t="s">
        <v>307</v>
      </c>
      <c r="I1336" s="39" t="s">
        <v>102</v>
      </c>
      <c r="J1336" s="41">
        <v>4000</v>
      </c>
      <c r="K1336" s="42">
        <v>42.3</v>
      </c>
      <c r="L1336" s="43"/>
      <c r="M1336" s="43">
        <f>L1336*K1336</f>
        <v>0</v>
      </c>
      <c r="N1336" s="35">
        <v>4690368036412</v>
      </c>
    </row>
    <row r="1337" spans="1:14" ht="36" customHeight="1" outlineLevel="3" x14ac:dyDescent="0.2">
      <c r="A1337" s="36" t="s">
        <v>1647</v>
      </c>
      <c r="B1337" s="37" t="str">
        <f>HYPERLINK("http://www.sedek.ru/upload/iblock/611/perets_khabanero_krasnyy.jpg","фото")</f>
        <v>фото</v>
      </c>
      <c r="C1337" s="38"/>
      <c r="D1337" s="38"/>
      <c r="E1337" s="39" t="s">
        <v>1610</v>
      </c>
      <c r="F1337" s="39" t="s">
        <v>1648</v>
      </c>
      <c r="G1337" s="40">
        <v>6</v>
      </c>
      <c r="H1337" s="39" t="s">
        <v>307</v>
      </c>
      <c r="I1337" s="39" t="s">
        <v>102</v>
      </c>
      <c r="J1337" s="41">
        <v>4000</v>
      </c>
      <c r="K1337" s="42">
        <v>42.3</v>
      </c>
      <c r="L1337" s="43"/>
      <c r="M1337" s="43">
        <f>L1337*K1337</f>
        <v>0</v>
      </c>
      <c r="N1337" s="35">
        <v>4690368036382</v>
      </c>
    </row>
    <row r="1338" spans="1:14" ht="48" customHeight="1" outlineLevel="3" x14ac:dyDescent="0.2">
      <c r="A1338" s="36" t="s">
        <v>1649</v>
      </c>
      <c r="B1338" s="37" t="str">
        <f>HYPERLINK("http://www.sedek.ru/upload/iblock/578/perets_khabanero_oranzhevyy.jpg","фото")</f>
        <v>фото</v>
      </c>
      <c r="C1338" s="38"/>
      <c r="D1338" s="38"/>
      <c r="E1338" s="39" t="s">
        <v>1610</v>
      </c>
      <c r="F1338" s="39" t="s">
        <v>1650</v>
      </c>
      <c r="G1338" s="40">
        <v>6</v>
      </c>
      <c r="H1338" s="39" t="s">
        <v>307</v>
      </c>
      <c r="I1338" s="39" t="s">
        <v>102</v>
      </c>
      <c r="J1338" s="41">
        <v>4000</v>
      </c>
      <c r="K1338" s="42">
        <v>42.3</v>
      </c>
      <c r="L1338" s="43"/>
      <c r="M1338" s="43">
        <f>L1338*K1338</f>
        <v>0</v>
      </c>
      <c r="N1338" s="35">
        <v>4690368036405</v>
      </c>
    </row>
    <row r="1339" spans="1:14" ht="36" customHeight="1" outlineLevel="3" x14ac:dyDescent="0.2">
      <c r="A1339" s="36" t="s">
        <v>1651</v>
      </c>
      <c r="B1339" s="37" t="str">
        <f>HYPERLINK("http://www.sedek.ru/upload/iblock/c47/perets_khabanero_shokoladnyy.jpg","фото")</f>
        <v>фото</v>
      </c>
      <c r="C1339" s="38"/>
      <c r="D1339" s="38" t="s">
        <v>266</v>
      </c>
      <c r="E1339" s="39" t="s">
        <v>1610</v>
      </c>
      <c r="F1339" s="39" t="s">
        <v>1652</v>
      </c>
      <c r="G1339" s="40">
        <v>6</v>
      </c>
      <c r="H1339" s="39" t="s">
        <v>307</v>
      </c>
      <c r="I1339" s="39" t="s">
        <v>102</v>
      </c>
      <c r="J1339" s="41">
        <v>4000</v>
      </c>
      <c r="K1339" s="42">
        <v>42.3</v>
      </c>
      <c r="L1339" s="43"/>
      <c r="M1339" s="43">
        <f>L1339*K1339</f>
        <v>0</v>
      </c>
      <c r="N1339" s="35">
        <v>4690368036399</v>
      </c>
    </row>
    <row r="1340" spans="1:14" ht="36" customHeight="1" outlineLevel="3" x14ac:dyDescent="0.2">
      <c r="A1340" s="36" t="s">
        <v>1653</v>
      </c>
      <c r="B1340" s="37" t="str">
        <f>HYPERLINK("https://www.sedek.ru/upload/iblock/6d1/perets_ostryy_khalapeno.png","фото")</f>
        <v>фото</v>
      </c>
      <c r="C1340" s="38" t="s">
        <v>266</v>
      </c>
      <c r="D1340" s="38"/>
      <c r="E1340" s="39" t="s">
        <v>1447</v>
      </c>
      <c r="F1340" s="39" t="s">
        <v>1654</v>
      </c>
      <c r="G1340" s="44">
        <v>0.1</v>
      </c>
      <c r="H1340" s="39"/>
      <c r="I1340" s="39" t="s">
        <v>102</v>
      </c>
      <c r="J1340" s="41">
        <v>4000</v>
      </c>
      <c r="K1340" s="42">
        <v>31.9</v>
      </c>
      <c r="L1340" s="43"/>
      <c r="M1340" s="43">
        <f>L1340*K1340</f>
        <v>0</v>
      </c>
      <c r="N1340" s="35">
        <v>4690368038973</v>
      </c>
    </row>
    <row r="1341" spans="1:14" ht="36" customHeight="1" outlineLevel="3" x14ac:dyDescent="0.2">
      <c r="A1341" s="36" t="s">
        <v>1655</v>
      </c>
      <c r="B1341" s="37" t="str">
        <f>HYPERLINK("http://www.sedek.ru/upload/iblock/f0c/perets_kharuba_f1.jpg","фото")</f>
        <v>фото</v>
      </c>
      <c r="C1341" s="38"/>
      <c r="D1341" s="38" t="s">
        <v>266</v>
      </c>
      <c r="E1341" s="39" t="s">
        <v>1447</v>
      </c>
      <c r="F1341" s="39" t="s">
        <v>1656</v>
      </c>
      <c r="G1341" s="40">
        <v>6</v>
      </c>
      <c r="H1341" s="39" t="s">
        <v>307</v>
      </c>
      <c r="I1341" s="39" t="s">
        <v>102</v>
      </c>
      <c r="J1341" s="41">
        <v>4000</v>
      </c>
      <c r="K1341" s="42">
        <v>42.8</v>
      </c>
      <c r="L1341" s="43"/>
      <c r="M1341" s="43">
        <f>L1341*K1341</f>
        <v>0</v>
      </c>
      <c r="N1341" s="35">
        <v>4690368036375</v>
      </c>
    </row>
    <row r="1342" spans="1:14" ht="36" customHeight="1" outlineLevel="3" x14ac:dyDescent="0.2">
      <c r="A1342" s="45">
        <v>14031</v>
      </c>
      <c r="B1342" s="37" t="str">
        <f>HYPERLINK("http://www.sedek.ru/upload/iblock/5a6/perets_tsaritsa_f1.jpg","фото")</f>
        <v>фото</v>
      </c>
      <c r="C1342" s="38"/>
      <c r="D1342" s="38"/>
      <c r="E1342" s="39"/>
      <c r="F1342" s="39" t="s">
        <v>1657</v>
      </c>
      <c r="G1342" s="44">
        <v>0.1</v>
      </c>
      <c r="H1342" s="39" t="s">
        <v>101</v>
      </c>
      <c r="I1342" s="39" t="s">
        <v>102</v>
      </c>
      <c r="J1342" s="41">
        <v>4000</v>
      </c>
      <c r="K1342" s="42">
        <v>20.6</v>
      </c>
      <c r="L1342" s="43"/>
      <c r="M1342" s="43">
        <f>L1342*K1342</f>
        <v>0</v>
      </c>
      <c r="N1342" s="35">
        <v>4607116267509</v>
      </c>
    </row>
    <row r="1343" spans="1:14" ht="36" customHeight="1" outlineLevel="3" x14ac:dyDescent="0.2">
      <c r="A1343" s="36" t="s">
        <v>1658</v>
      </c>
      <c r="B1343" s="37" t="str">
        <f>HYPERLINK("http://www.sedek.ru/upload/iblock/23c/perets_charodey.jpg","фото")</f>
        <v>фото</v>
      </c>
      <c r="C1343" s="38"/>
      <c r="D1343" s="38"/>
      <c r="E1343" s="39"/>
      <c r="F1343" s="39" t="s">
        <v>1659</v>
      </c>
      <c r="G1343" s="44">
        <v>0.1</v>
      </c>
      <c r="H1343" s="39" t="s">
        <v>101</v>
      </c>
      <c r="I1343" s="39" t="s">
        <v>102</v>
      </c>
      <c r="J1343" s="41">
        <v>4000</v>
      </c>
      <c r="K1343" s="42">
        <v>22.7</v>
      </c>
      <c r="L1343" s="43"/>
      <c r="M1343" s="43">
        <f>L1343*K1343</f>
        <v>0</v>
      </c>
      <c r="N1343" s="35">
        <v>4690368031363</v>
      </c>
    </row>
    <row r="1344" spans="1:14" ht="36" customHeight="1" outlineLevel="3" x14ac:dyDescent="0.2">
      <c r="A1344" s="45">
        <v>16079</v>
      </c>
      <c r="B1344" s="37" t="str">
        <f>HYPERLINK("http://sedek.ru/upload/iblock/be9/perets_chyernyy_sakhar_f1.jpg","фото")</f>
        <v>фото</v>
      </c>
      <c r="C1344" s="38"/>
      <c r="D1344" s="38"/>
      <c r="E1344" s="39"/>
      <c r="F1344" s="39" t="s">
        <v>1660</v>
      </c>
      <c r="G1344" s="44">
        <v>0.2</v>
      </c>
      <c r="H1344" s="39" t="s">
        <v>101</v>
      </c>
      <c r="I1344" s="39" t="s">
        <v>102</v>
      </c>
      <c r="J1344" s="41">
        <v>4000</v>
      </c>
      <c r="K1344" s="42">
        <v>20.5</v>
      </c>
      <c r="L1344" s="43"/>
      <c r="M1344" s="43">
        <f>L1344*K1344</f>
        <v>0</v>
      </c>
      <c r="N1344" s="35">
        <v>4607149404841</v>
      </c>
    </row>
    <row r="1345" spans="1:14" ht="48" customHeight="1" outlineLevel="3" x14ac:dyDescent="0.2">
      <c r="A1345" s="36" t="s">
        <v>1661</v>
      </c>
      <c r="B1345" s="37" t="str">
        <f>HYPERLINK("http://sedek.ru/upload/resize_cache/iblock/bd9/nlh9oola6obqwzbwn1svth8liphiz5c4/150_260_140cd750bba9870f18aada2478b24840a/perets_cherriko_viko_f1_krasnyy_sl.png","фото")</f>
        <v>фото</v>
      </c>
      <c r="C1345" s="38" t="s">
        <v>266</v>
      </c>
      <c r="D1345" s="38"/>
      <c r="E1345" s="39"/>
      <c r="F1345" s="39" t="s">
        <v>1662</v>
      </c>
      <c r="G1345" s="54">
        <v>0.05</v>
      </c>
      <c r="H1345" s="39"/>
      <c r="I1345" s="39" t="s">
        <v>102</v>
      </c>
      <c r="J1345" s="41">
        <v>4000</v>
      </c>
      <c r="K1345" s="42">
        <v>41.7</v>
      </c>
      <c r="L1345" s="43"/>
      <c r="M1345" s="43">
        <f>L1345*K1345</f>
        <v>0</v>
      </c>
      <c r="N1345" s="35">
        <v>4690368044554</v>
      </c>
    </row>
    <row r="1346" spans="1:14" ht="48" customHeight="1" outlineLevel="3" x14ac:dyDescent="0.2">
      <c r="A1346" s="36" t="s">
        <v>1663</v>
      </c>
      <c r="B1346" s="37" t="str">
        <f>HYPERLINK("http://sedek.ru/upload/resize_cache/iblock/2e8/mhnuszeuk02z3v4ezw8z9jhu5g7it5aw/150_260_140cd750bba9870f18aada2478b24840a/perets_cherriko_niko_f1_oranzhevyy_sl.png","фото")</f>
        <v>фото</v>
      </c>
      <c r="C1346" s="38" t="s">
        <v>266</v>
      </c>
      <c r="D1346" s="38" t="s">
        <v>266</v>
      </c>
      <c r="E1346" s="39"/>
      <c r="F1346" s="39" t="s">
        <v>1664</v>
      </c>
      <c r="G1346" s="54">
        <v>0.05</v>
      </c>
      <c r="H1346" s="39"/>
      <c r="I1346" s="39" t="s">
        <v>102</v>
      </c>
      <c r="J1346" s="41">
        <v>4000</v>
      </c>
      <c r="K1346" s="42">
        <v>41.7</v>
      </c>
      <c r="L1346" s="43"/>
      <c r="M1346" s="43">
        <f>L1346*K1346</f>
        <v>0</v>
      </c>
      <c r="N1346" s="35">
        <v>4690368044561</v>
      </c>
    </row>
    <row r="1347" spans="1:14" ht="59.1" customHeight="1" outlineLevel="3" x14ac:dyDescent="0.2">
      <c r="A1347" s="36" t="s">
        <v>1665</v>
      </c>
      <c r="B1347" s="37" t="str">
        <f>HYPERLINK("http://sedek.ru/upload/resize_cache/iblock/aeb/k7hx2fvt1t41hrpjwxsig9119drph14m/150_260_140cd750bba9870f18aada2478b24840a/perets_cherriko_riko_f1_yarko_zheltyy_sl.jpg","фото")</f>
        <v>фото</v>
      </c>
      <c r="C1347" s="38" t="s">
        <v>266</v>
      </c>
      <c r="D1347" s="38" t="s">
        <v>266</v>
      </c>
      <c r="E1347" s="39"/>
      <c r="F1347" s="39" t="s">
        <v>1666</v>
      </c>
      <c r="G1347" s="54">
        <v>0.05</v>
      </c>
      <c r="H1347" s="39"/>
      <c r="I1347" s="39" t="s">
        <v>102</v>
      </c>
      <c r="J1347" s="41">
        <v>4000</v>
      </c>
      <c r="K1347" s="42">
        <v>41.7</v>
      </c>
      <c r="L1347" s="43"/>
      <c r="M1347" s="43">
        <f>L1347*K1347</f>
        <v>0</v>
      </c>
      <c r="N1347" s="35">
        <v>4690368044578</v>
      </c>
    </row>
    <row r="1348" spans="1:14" ht="36" customHeight="1" outlineLevel="3" x14ac:dyDescent="0.2">
      <c r="A1348" s="36" t="s">
        <v>1667</v>
      </c>
      <c r="B1348" s="37" t="str">
        <f>HYPERLINK("http://www.sedek.ru/upload/iblock/3e4/perets_shary.png","фото")</f>
        <v>фото</v>
      </c>
      <c r="C1348" s="38"/>
      <c r="D1348" s="38" t="s">
        <v>266</v>
      </c>
      <c r="E1348" s="39" t="s">
        <v>1454</v>
      </c>
      <c r="F1348" s="39" t="s">
        <v>1668</v>
      </c>
      <c r="G1348" s="44">
        <v>0.1</v>
      </c>
      <c r="H1348" s="39" t="s">
        <v>101</v>
      </c>
      <c r="I1348" s="39" t="s">
        <v>102</v>
      </c>
      <c r="J1348" s="41">
        <v>5000</v>
      </c>
      <c r="K1348" s="42">
        <v>26.6</v>
      </c>
      <c r="L1348" s="43"/>
      <c r="M1348" s="43">
        <f>L1348*K1348</f>
        <v>0</v>
      </c>
      <c r="N1348" s="35">
        <v>4690368037174</v>
      </c>
    </row>
    <row r="1349" spans="1:14" ht="36" customHeight="1" outlineLevel="3" x14ac:dyDescent="0.2">
      <c r="A1349" s="45">
        <v>16582</v>
      </c>
      <c r="B1349" s="37" t="str">
        <f>HYPERLINK("http://sedek.ru/upload/iblock/b04/perets_shatl_f1.JPG","фото")</f>
        <v>фото</v>
      </c>
      <c r="C1349" s="38"/>
      <c r="D1349" s="38"/>
      <c r="E1349" s="39"/>
      <c r="F1349" s="39" t="s">
        <v>1669</v>
      </c>
      <c r="G1349" s="44">
        <v>0.2</v>
      </c>
      <c r="H1349" s="39" t="s">
        <v>101</v>
      </c>
      <c r="I1349" s="39" t="s">
        <v>102</v>
      </c>
      <c r="J1349" s="41">
        <v>4000</v>
      </c>
      <c r="K1349" s="42">
        <v>20.5</v>
      </c>
      <c r="L1349" s="43"/>
      <c r="M1349" s="43">
        <f>L1349*K1349</f>
        <v>0</v>
      </c>
      <c r="N1349" s="35">
        <v>4607015188622</v>
      </c>
    </row>
    <row r="1350" spans="1:14" ht="36" customHeight="1" outlineLevel="3" x14ac:dyDescent="0.2">
      <c r="A1350" s="36" t="s">
        <v>1670</v>
      </c>
      <c r="B1350" s="37" t="str">
        <f>HYPERLINK("http://www.sedek.ru/upload/iblock/9c1/perets_shedevr.jpg","фото")</f>
        <v>фото</v>
      </c>
      <c r="C1350" s="38"/>
      <c r="D1350" s="38" t="s">
        <v>266</v>
      </c>
      <c r="E1350" s="39" t="s">
        <v>1454</v>
      </c>
      <c r="F1350" s="39" t="s">
        <v>1671</v>
      </c>
      <c r="G1350" s="44">
        <v>0.1</v>
      </c>
      <c r="H1350" s="39" t="s">
        <v>101</v>
      </c>
      <c r="I1350" s="39" t="s">
        <v>102</v>
      </c>
      <c r="J1350" s="41">
        <v>5000</v>
      </c>
      <c r="K1350" s="42">
        <v>26.6</v>
      </c>
      <c r="L1350" s="43"/>
      <c r="M1350" s="43">
        <f>L1350*K1350</f>
        <v>0</v>
      </c>
      <c r="N1350" s="35">
        <v>4690368037112</v>
      </c>
    </row>
    <row r="1351" spans="1:14" ht="24" customHeight="1" outlineLevel="3" x14ac:dyDescent="0.2">
      <c r="A1351" s="45">
        <v>15517</v>
      </c>
      <c r="B1351" s="37" t="str">
        <f>HYPERLINK("http://sedek.ru/upload/iblock/26e/perets_everest.jpg","фото")</f>
        <v>фото</v>
      </c>
      <c r="C1351" s="38"/>
      <c r="D1351" s="38"/>
      <c r="E1351" s="39"/>
      <c r="F1351" s="39" t="s">
        <v>1672</v>
      </c>
      <c r="G1351" s="44">
        <v>0.1</v>
      </c>
      <c r="H1351" s="39" t="s">
        <v>101</v>
      </c>
      <c r="I1351" s="39" t="s">
        <v>102</v>
      </c>
      <c r="J1351" s="41">
        <v>4000</v>
      </c>
      <c r="K1351" s="42">
        <v>19.5</v>
      </c>
      <c r="L1351" s="43"/>
      <c r="M1351" s="43">
        <f>L1351*K1351</f>
        <v>0</v>
      </c>
      <c r="N1351" s="35">
        <v>4607015185232</v>
      </c>
    </row>
    <row r="1352" spans="1:14" ht="36" customHeight="1" outlineLevel="3" x14ac:dyDescent="0.2">
      <c r="A1352" s="45">
        <v>14883</v>
      </c>
      <c r="B1352" s="37" t="str">
        <f>HYPERLINK("http://sedek.ru/upload/iblock/116/perets_elf.jpg","фото")</f>
        <v>фото</v>
      </c>
      <c r="C1352" s="38"/>
      <c r="D1352" s="38"/>
      <c r="E1352" s="39" t="s">
        <v>1454</v>
      </c>
      <c r="F1352" s="39" t="s">
        <v>1673</v>
      </c>
      <c r="G1352" s="44">
        <v>0.2</v>
      </c>
      <c r="H1352" s="39" t="s">
        <v>101</v>
      </c>
      <c r="I1352" s="39" t="s">
        <v>102</v>
      </c>
      <c r="J1352" s="41">
        <v>4000</v>
      </c>
      <c r="K1352" s="42">
        <v>19.5</v>
      </c>
      <c r="L1352" s="43"/>
      <c r="M1352" s="43">
        <f>L1352*K1352</f>
        <v>0</v>
      </c>
      <c r="N1352" s="35">
        <v>4607015188639</v>
      </c>
    </row>
    <row r="1353" spans="1:14" ht="24" customHeight="1" outlineLevel="3" x14ac:dyDescent="0.2">
      <c r="A1353" s="45">
        <v>14373</v>
      </c>
      <c r="B1353" s="37" t="str">
        <f>HYPERLINK("http://www.sedek.ru/upload/iblock/881/perets_sladkiy_etyud.jpg","фото")</f>
        <v>фото</v>
      </c>
      <c r="C1353" s="38"/>
      <c r="D1353" s="38"/>
      <c r="E1353" s="39"/>
      <c r="F1353" s="39" t="s">
        <v>1674</v>
      </c>
      <c r="G1353" s="44">
        <v>0.2</v>
      </c>
      <c r="H1353" s="39" t="s">
        <v>101</v>
      </c>
      <c r="I1353" s="39" t="s">
        <v>102</v>
      </c>
      <c r="J1353" s="41">
        <v>4000</v>
      </c>
      <c r="K1353" s="42">
        <v>19.8</v>
      </c>
      <c r="L1353" s="43"/>
      <c r="M1353" s="43">
        <f>L1353*K1353</f>
        <v>0</v>
      </c>
      <c r="N1353" s="35">
        <v>4607015188646</v>
      </c>
    </row>
    <row r="1354" spans="1:14" ht="24" customHeight="1" outlineLevel="3" x14ac:dyDescent="0.2">
      <c r="A1354" s="45">
        <v>14373</v>
      </c>
      <c r="B1354" s="37" t="str">
        <f>HYPERLINK("http://www.sedek.ru/upload/iblock/881/perets_sladkiy_etyud.jpg","фото")</f>
        <v>фото</v>
      </c>
      <c r="C1354" s="38"/>
      <c r="D1354" s="38"/>
      <c r="E1354" s="39"/>
      <c r="F1354" s="39" t="s">
        <v>1675</v>
      </c>
      <c r="G1354" s="44">
        <v>0.2</v>
      </c>
      <c r="H1354" s="39" t="s">
        <v>101</v>
      </c>
      <c r="I1354" s="39" t="s">
        <v>287</v>
      </c>
      <c r="J1354" s="41">
        <v>4000</v>
      </c>
      <c r="K1354" s="42">
        <v>8.8000000000000007</v>
      </c>
      <c r="L1354" s="43"/>
      <c r="M1354" s="43">
        <f>L1354*K1354</f>
        <v>0</v>
      </c>
      <c r="N1354" s="35">
        <v>4690368011426</v>
      </c>
    </row>
    <row r="1355" spans="1:14" ht="36" customHeight="1" outlineLevel="3" x14ac:dyDescent="0.2">
      <c r="A1355" s="45">
        <v>14566</v>
      </c>
      <c r="B1355" s="37" t="str">
        <f>HYPERLINK("http://sedek.ru/upload/iblock/376/perets_yablochko.jpg","фото")</f>
        <v>фото</v>
      </c>
      <c r="C1355" s="38"/>
      <c r="D1355" s="38" t="s">
        <v>266</v>
      </c>
      <c r="E1355" s="39"/>
      <c r="F1355" s="39" t="s">
        <v>1676</v>
      </c>
      <c r="G1355" s="44">
        <v>0.1</v>
      </c>
      <c r="H1355" s="39" t="s">
        <v>101</v>
      </c>
      <c r="I1355" s="39" t="s">
        <v>102</v>
      </c>
      <c r="J1355" s="41">
        <v>4000</v>
      </c>
      <c r="K1355" s="42">
        <v>19.5</v>
      </c>
      <c r="L1355" s="43"/>
      <c r="M1355" s="43">
        <f>L1355*K1355</f>
        <v>0</v>
      </c>
      <c r="N1355" s="35">
        <v>4690368005852</v>
      </c>
    </row>
    <row r="1356" spans="1:14" ht="36" customHeight="1" outlineLevel="3" x14ac:dyDescent="0.2">
      <c r="A1356" s="45">
        <v>16550</v>
      </c>
      <c r="B1356" s="37" t="str">
        <f>HYPERLINK("http://sedek.ru/upload/iblock/d60/perets_yazyk_drakona.jpg","фото")</f>
        <v>фото</v>
      </c>
      <c r="C1356" s="38"/>
      <c r="D1356" s="38"/>
      <c r="E1356" s="39" t="s">
        <v>1447</v>
      </c>
      <c r="F1356" s="39" t="s">
        <v>1677</v>
      </c>
      <c r="G1356" s="44">
        <v>0.1</v>
      </c>
      <c r="H1356" s="39" t="s">
        <v>101</v>
      </c>
      <c r="I1356" s="39" t="s">
        <v>102</v>
      </c>
      <c r="J1356" s="41">
        <v>4000</v>
      </c>
      <c r="K1356" s="42">
        <v>20.5</v>
      </c>
      <c r="L1356" s="43"/>
      <c r="M1356" s="43">
        <f>L1356*K1356</f>
        <v>0</v>
      </c>
      <c r="N1356" s="35">
        <v>4690368022170</v>
      </c>
    </row>
    <row r="1357" spans="1:14" ht="36" customHeight="1" outlineLevel="3" x14ac:dyDescent="0.2">
      <c r="A1357" s="45">
        <v>13487</v>
      </c>
      <c r="B1357" s="37" t="str">
        <f>HYPERLINK("http://sedek.ru/upload/iblock/3ae/perets_yazychok_tyeshchi.jpg","фото")</f>
        <v>фото</v>
      </c>
      <c r="C1357" s="38"/>
      <c r="D1357" s="38"/>
      <c r="E1357" s="39"/>
      <c r="F1357" s="39" t="s">
        <v>1678</v>
      </c>
      <c r="G1357" s="44">
        <v>0.2</v>
      </c>
      <c r="H1357" s="39" t="s">
        <v>101</v>
      </c>
      <c r="I1357" s="39" t="s">
        <v>102</v>
      </c>
      <c r="J1357" s="41">
        <v>4000</v>
      </c>
      <c r="K1357" s="42">
        <v>20.5</v>
      </c>
      <c r="L1357" s="43"/>
      <c r="M1357" s="43">
        <f>L1357*K1357</f>
        <v>0</v>
      </c>
      <c r="N1357" s="35">
        <v>4607149406241</v>
      </c>
    </row>
    <row r="1358" spans="1:14" ht="12" customHeight="1" outlineLevel="2" x14ac:dyDescent="0.2">
      <c r="A1358" s="22"/>
      <c r="B1358" s="23"/>
      <c r="C1358" s="23"/>
      <c r="D1358" s="23"/>
      <c r="E1358" s="24"/>
      <c r="F1358" s="24" t="s">
        <v>1679</v>
      </c>
      <c r="G1358" s="24"/>
      <c r="H1358" s="24"/>
      <c r="I1358" s="24"/>
      <c r="J1358" s="24"/>
      <c r="K1358" s="24"/>
      <c r="L1358" s="24"/>
      <c r="M1358" s="24"/>
      <c r="N1358" s="25"/>
    </row>
    <row r="1359" spans="1:14" ht="36" customHeight="1" outlineLevel="3" x14ac:dyDescent="0.2">
      <c r="A1359" s="36" t="s">
        <v>1680</v>
      </c>
      <c r="B1359" s="37" t="str">
        <f>HYPERLINK("http://sedek.ru/upload/iblock/fb8/petrushka_azhur.jpg","фото")</f>
        <v>фото</v>
      </c>
      <c r="C1359" s="38"/>
      <c r="D1359" s="38"/>
      <c r="E1359" s="39" t="s">
        <v>263</v>
      </c>
      <c r="F1359" s="39" t="s">
        <v>1681</v>
      </c>
      <c r="G1359" s="40">
        <v>2</v>
      </c>
      <c r="H1359" s="39" t="s">
        <v>101</v>
      </c>
      <c r="I1359" s="39" t="s">
        <v>102</v>
      </c>
      <c r="J1359" s="41">
        <v>2000</v>
      </c>
      <c r="K1359" s="42">
        <v>19.3</v>
      </c>
      <c r="L1359" s="43"/>
      <c r="M1359" s="43">
        <f>L1359*K1359</f>
        <v>0</v>
      </c>
      <c r="N1359" s="35">
        <v>4690368030458</v>
      </c>
    </row>
    <row r="1360" spans="1:14" ht="36" customHeight="1" outlineLevel="3" x14ac:dyDescent="0.2">
      <c r="A1360" s="45">
        <v>14574</v>
      </c>
      <c r="B1360" s="37" t="str">
        <f>HYPERLINK("http://sedek.ru/upload/iblock/361/petrushka_berlinskaya.jpg","фото")</f>
        <v>фото</v>
      </c>
      <c r="C1360" s="38"/>
      <c r="D1360" s="38"/>
      <c r="E1360" s="39"/>
      <c r="F1360" s="39" t="s">
        <v>1682</v>
      </c>
      <c r="G1360" s="40">
        <v>2</v>
      </c>
      <c r="H1360" s="39" t="s">
        <v>101</v>
      </c>
      <c r="I1360" s="39" t="s">
        <v>102</v>
      </c>
      <c r="J1360" s="41">
        <v>2000</v>
      </c>
      <c r="K1360" s="42">
        <v>20.5</v>
      </c>
      <c r="L1360" s="43"/>
      <c r="M1360" s="43">
        <f>L1360*K1360</f>
        <v>0</v>
      </c>
      <c r="N1360" s="35">
        <v>4607015188653</v>
      </c>
    </row>
    <row r="1361" spans="1:14" ht="36" customHeight="1" outlineLevel="3" x14ac:dyDescent="0.2">
      <c r="A1361" s="45">
        <v>14574</v>
      </c>
      <c r="B1361" s="37" t="str">
        <f>HYPERLINK("http://sedek.ru/upload/iblock/361/petrushka_berlinskaya.jpg","фото")</f>
        <v>фото</v>
      </c>
      <c r="C1361" s="38"/>
      <c r="D1361" s="38"/>
      <c r="E1361" s="39"/>
      <c r="F1361" s="39" t="s">
        <v>1683</v>
      </c>
      <c r="G1361" s="40">
        <v>2</v>
      </c>
      <c r="H1361" s="39" t="s">
        <v>101</v>
      </c>
      <c r="I1361" s="39" t="s">
        <v>287</v>
      </c>
      <c r="J1361" s="41">
        <v>2000</v>
      </c>
      <c r="K1361" s="42">
        <v>8.9</v>
      </c>
      <c r="L1361" s="43"/>
      <c r="M1361" s="43">
        <f>L1361*K1361</f>
        <v>0</v>
      </c>
      <c r="N1361" s="35">
        <v>4690368005203</v>
      </c>
    </row>
    <row r="1362" spans="1:14" ht="36" customHeight="1" outlineLevel="3" x14ac:dyDescent="0.2">
      <c r="A1362" s="45">
        <v>15436</v>
      </c>
      <c r="B1362" s="37" t="str">
        <f>HYPERLINK("http://www.sedek.ru/upload/iblock/147/petrushka_listovaya_bogatyr.jpg","фото")</f>
        <v>фото</v>
      </c>
      <c r="C1362" s="38"/>
      <c r="D1362" s="38"/>
      <c r="E1362" s="39"/>
      <c r="F1362" s="39" t="s">
        <v>1684</v>
      </c>
      <c r="G1362" s="40">
        <v>2</v>
      </c>
      <c r="H1362" s="39" t="s">
        <v>101</v>
      </c>
      <c r="I1362" s="39" t="s">
        <v>102</v>
      </c>
      <c r="J1362" s="41">
        <v>2000</v>
      </c>
      <c r="K1362" s="42">
        <v>15.6</v>
      </c>
      <c r="L1362" s="43"/>
      <c r="M1362" s="43">
        <f>L1362*K1362</f>
        <v>0</v>
      </c>
      <c r="N1362" s="35">
        <v>4607149401611</v>
      </c>
    </row>
    <row r="1363" spans="1:14" ht="36" customHeight="1" outlineLevel="3" x14ac:dyDescent="0.2">
      <c r="A1363" s="36" t="s">
        <v>1685</v>
      </c>
      <c r="B1363" s="37" t="str">
        <f>HYPERLINK("http://www.sedek.ru/upload/iblock/9e8/petrushka_kruzhevnitsa_listovaya.jpg","фото")</f>
        <v>фото</v>
      </c>
      <c r="C1363" s="38"/>
      <c r="D1363" s="38"/>
      <c r="E1363" s="39"/>
      <c r="F1363" s="39" t="s">
        <v>1686</v>
      </c>
      <c r="G1363" s="40">
        <v>2</v>
      </c>
      <c r="H1363" s="39" t="s">
        <v>101</v>
      </c>
      <c r="I1363" s="39" t="s">
        <v>102</v>
      </c>
      <c r="J1363" s="41">
        <v>2000</v>
      </c>
      <c r="K1363" s="42">
        <v>20.5</v>
      </c>
      <c r="L1363" s="43"/>
      <c r="M1363" s="43">
        <f>L1363*K1363</f>
        <v>0</v>
      </c>
      <c r="N1363" s="35">
        <v>4690368035484</v>
      </c>
    </row>
    <row r="1364" spans="1:14" ht="36" customHeight="1" outlineLevel="3" x14ac:dyDescent="0.2">
      <c r="A1364" s="45">
        <v>15732</v>
      </c>
      <c r="B1364" s="37" t="str">
        <f>HYPERLINK("http://sedek.ru/upload/iblock/c7d/petrushka_kudryavaya.jpg","фото")</f>
        <v>фото</v>
      </c>
      <c r="C1364" s="38"/>
      <c r="D1364" s="38"/>
      <c r="E1364" s="39"/>
      <c r="F1364" s="39" t="s">
        <v>1687</v>
      </c>
      <c r="G1364" s="40">
        <v>2</v>
      </c>
      <c r="H1364" s="39" t="s">
        <v>101</v>
      </c>
      <c r="I1364" s="39" t="s">
        <v>102</v>
      </c>
      <c r="J1364" s="41">
        <v>2000</v>
      </c>
      <c r="K1364" s="42">
        <v>18.8</v>
      </c>
      <c r="L1364" s="43"/>
      <c r="M1364" s="43">
        <f>L1364*K1364</f>
        <v>0</v>
      </c>
      <c r="N1364" s="35">
        <v>4607015188660</v>
      </c>
    </row>
    <row r="1365" spans="1:14" ht="36" customHeight="1" outlineLevel="3" x14ac:dyDescent="0.2">
      <c r="A1365" s="45">
        <v>15055</v>
      </c>
      <c r="B1365" s="37" t="str">
        <f>HYPERLINK("http://sedek.ru/upload/iblock/b30/petrushka_slavyanskaya.jpg","фото")</f>
        <v>фото</v>
      </c>
      <c r="C1365" s="38"/>
      <c r="D1365" s="38"/>
      <c r="E1365" s="39"/>
      <c r="F1365" s="39" t="s">
        <v>1688</v>
      </c>
      <c r="G1365" s="40">
        <v>2</v>
      </c>
      <c r="H1365" s="39" t="s">
        <v>101</v>
      </c>
      <c r="I1365" s="39" t="s">
        <v>102</v>
      </c>
      <c r="J1365" s="41">
        <v>2000</v>
      </c>
      <c r="K1365" s="42">
        <v>20.5</v>
      </c>
      <c r="L1365" s="43"/>
      <c r="M1365" s="43">
        <f>L1365*K1365</f>
        <v>0</v>
      </c>
      <c r="N1365" s="35">
        <v>4607149401604</v>
      </c>
    </row>
    <row r="1366" spans="1:14" ht="36" customHeight="1" outlineLevel="3" x14ac:dyDescent="0.2">
      <c r="A1366" s="45">
        <v>15261</v>
      </c>
      <c r="B1366" s="37" t="str">
        <f>HYPERLINK("http://sedek.ru/upload/iblock/989/petrushka_lekar.jpg","фото")</f>
        <v>фото</v>
      </c>
      <c r="C1366" s="38"/>
      <c r="D1366" s="38"/>
      <c r="E1366" s="39"/>
      <c r="F1366" s="39" t="s">
        <v>1689</v>
      </c>
      <c r="G1366" s="40">
        <v>2</v>
      </c>
      <c r="H1366" s="39" t="s">
        <v>101</v>
      </c>
      <c r="I1366" s="39" t="s">
        <v>102</v>
      </c>
      <c r="J1366" s="41">
        <v>2000</v>
      </c>
      <c r="K1366" s="42">
        <v>20.5</v>
      </c>
      <c r="L1366" s="43"/>
      <c r="M1366" s="43">
        <f>L1366*K1366</f>
        <v>0</v>
      </c>
      <c r="N1366" s="35">
        <v>4690368008891</v>
      </c>
    </row>
    <row r="1367" spans="1:14" ht="36" customHeight="1" outlineLevel="3" x14ac:dyDescent="0.2">
      <c r="A1367" s="45">
        <v>15117</v>
      </c>
      <c r="B1367" s="37" t="str">
        <f>HYPERLINK("http://sedek.ru/upload/iblock/3b1/petrushka_natalka.jpg","фото")</f>
        <v>фото</v>
      </c>
      <c r="C1367" s="38"/>
      <c r="D1367" s="38"/>
      <c r="E1367" s="39"/>
      <c r="F1367" s="39" t="s">
        <v>1690</v>
      </c>
      <c r="G1367" s="40">
        <v>2</v>
      </c>
      <c r="H1367" s="39" t="s">
        <v>101</v>
      </c>
      <c r="I1367" s="39" t="s">
        <v>102</v>
      </c>
      <c r="J1367" s="41">
        <v>2000</v>
      </c>
      <c r="K1367" s="42">
        <v>20</v>
      </c>
      <c r="L1367" s="43"/>
      <c r="M1367" s="43">
        <f>L1367*K1367</f>
        <v>0</v>
      </c>
      <c r="N1367" s="35">
        <v>4607015188684</v>
      </c>
    </row>
    <row r="1368" spans="1:14" ht="36" customHeight="1" outlineLevel="3" x14ac:dyDescent="0.2">
      <c r="A1368" s="45">
        <v>15117</v>
      </c>
      <c r="B1368" s="37" t="str">
        <f>HYPERLINK("http://sedek.ru/upload/iblock/3b1/petrushka_natalka.jpg","фото")</f>
        <v>фото</v>
      </c>
      <c r="C1368" s="38"/>
      <c r="D1368" s="38"/>
      <c r="E1368" s="39"/>
      <c r="F1368" s="39" t="s">
        <v>1691</v>
      </c>
      <c r="G1368" s="40">
        <v>2</v>
      </c>
      <c r="H1368" s="39" t="s">
        <v>101</v>
      </c>
      <c r="I1368" s="39" t="s">
        <v>287</v>
      </c>
      <c r="J1368" s="41">
        <v>2000</v>
      </c>
      <c r="K1368" s="42">
        <v>6.8</v>
      </c>
      <c r="L1368" s="43"/>
      <c r="M1368" s="43">
        <f>L1368*K1368</f>
        <v>0</v>
      </c>
      <c r="N1368" s="35">
        <v>4690368004701</v>
      </c>
    </row>
    <row r="1369" spans="1:14" ht="36" customHeight="1" outlineLevel="3" x14ac:dyDescent="0.2">
      <c r="A1369" s="45">
        <v>16588</v>
      </c>
      <c r="B1369" s="37" t="str">
        <f>HYPERLINK("http://www.sedek.ru/upload/iblock/1e8/petrushka_nezhnoe_kruzhevo.jpg","фото")</f>
        <v>фото</v>
      </c>
      <c r="C1369" s="38"/>
      <c r="D1369" s="38"/>
      <c r="E1369" s="39"/>
      <c r="F1369" s="39" t="s">
        <v>1692</v>
      </c>
      <c r="G1369" s="40">
        <v>2</v>
      </c>
      <c r="H1369" s="39" t="s">
        <v>101</v>
      </c>
      <c r="I1369" s="39" t="s">
        <v>102</v>
      </c>
      <c r="J1369" s="41">
        <v>2000</v>
      </c>
      <c r="K1369" s="42">
        <v>20.5</v>
      </c>
      <c r="L1369" s="43"/>
      <c r="M1369" s="43">
        <f>L1369*K1369</f>
        <v>0</v>
      </c>
      <c r="N1369" s="35">
        <v>4690368012614</v>
      </c>
    </row>
    <row r="1370" spans="1:14" ht="36" customHeight="1" outlineLevel="3" x14ac:dyDescent="0.2">
      <c r="A1370" s="46">
        <v>16208</v>
      </c>
      <c r="B1370" s="47" t="str">
        <f>HYPERLINK("http://sedek.ru/upload/iblock/507/petrushka_nezhnyy_aromat.jpg","фото")</f>
        <v>фото</v>
      </c>
      <c r="C1370" s="48"/>
      <c r="D1370" s="48"/>
      <c r="E1370" s="49"/>
      <c r="F1370" s="49" t="s">
        <v>1693</v>
      </c>
      <c r="G1370" s="50">
        <v>2</v>
      </c>
      <c r="H1370" s="49" t="s">
        <v>101</v>
      </c>
      <c r="I1370" s="49" t="s">
        <v>102</v>
      </c>
      <c r="J1370" s="51">
        <v>2000</v>
      </c>
      <c r="K1370" s="52">
        <v>19.5</v>
      </c>
      <c r="L1370" s="53"/>
      <c r="M1370" s="53">
        <f>L1370*K1370</f>
        <v>0</v>
      </c>
      <c r="N1370" s="35">
        <v>4607149403370</v>
      </c>
    </row>
    <row r="1371" spans="1:14" ht="36" customHeight="1" outlineLevel="3" x14ac:dyDescent="0.2">
      <c r="A1371" s="45">
        <v>13874</v>
      </c>
      <c r="B1371" s="37" t="str">
        <f>HYPERLINK("http://sedek.ru/upload/iblock/bd8/petrushka_obyknovennaya_listovaya.jpg","фото")</f>
        <v>фото</v>
      </c>
      <c r="C1371" s="38"/>
      <c r="D1371" s="38"/>
      <c r="E1371" s="39"/>
      <c r="F1371" s="39" t="s">
        <v>1694</v>
      </c>
      <c r="G1371" s="40">
        <v>2</v>
      </c>
      <c r="H1371" s="39" t="s">
        <v>101</v>
      </c>
      <c r="I1371" s="39" t="s">
        <v>102</v>
      </c>
      <c r="J1371" s="41">
        <v>2000</v>
      </c>
      <c r="K1371" s="42">
        <v>15.6</v>
      </c>
      <c r="L1371" s="43"/>
      <c r="M1371" s="43">
        <f>L1371*K1371</f>
        <v>0</v>
      </c>
      <c r="N1371" s="35">
        <v>4607015188677</v>
      </c>
    </row>
    <row r="1372" spans="1:14" ht="36" customHeight="1" outlineLevel="3" x14ac:dyDescent="0.2">
      <c r="A1372" s="45">
        <v>13874</v>
      </c>
      <c r="B1372" s="37" t="str">
        <f>HYPERLINK("http://sedek.ru/upload/iblock/bd8/petrushka_obyknovennaya_listovaya.jpg","фото")</f>
        <v>фото</v>
      </c>
      <c r="C1372" s="38"/>
      <c r="D1372" s="38"/>
      <c r="E1372" s="39"/>
      <c r="F1372" s="39" t="s">
        <v>1695</v>
      </c>
      <c r="G1372" s="40">
        <v>2</v>
      </c>
      <c r="H1372" s="39" t="s">
        <v>101</v>
      </c>
      <c r="I1372" s="39" t="s">
        <v>287</v>
      </c>
      <c r="J1372" s="41">
        <v>2000</v>
      </c>
      <c r="K1372" s="42">
        <v>6.5</v>
      </c>
      <c r="L1372" s="43"/>
      <c r="M1372" s="43">
        <f>L1372*K1372</f>
        <v>0</v>
      </c>
      <c r="N1372" s="35">
        <v>4607149408450</v>
      </c>
    </row>
    <row r="1373" spans="1:14" ht="36" customHeight="1" outlineLevel="3" x14ac:dyDescent="0.2">
      <c r="A1373" s="45">
        <v>14044</v>
      </c>
      <c r="B1373" s="37" t="str">
        <f>HYPERLINK("http://sedek.ru/upload/iblock/78e/petrushka_omega.jpg","фото")</f>
        <v>фото</v>
      </c>
      <c r="C1373" s="38"/>
      <c r="D1373" s="38"/>
      <c r="E1373" s="39"/>
      <c r="F1373" s="39" t="s">
        <v>1696</v>
      </c>
      <c r="G1373" s="40">
        <v>2</v>
      </c>
      <c r="H1373" s="39" t="s">
        <v>101</v>
      </c>
      <c r="I1373" s="39" t="s">
        <v>102</v>
      </c>
      <c r="J1373" s="41">
        <v>2000</v>
      </c>
      <c r="K1373" s="42">
        <v>20.5</v>
      </c>
      <c r="L1373" s="43"/>
      <c r="M1373" s="43">
        <f>L1373*K1373</f>
        <v>0</v>
      </c>
      <c r="N1373" s="35">
        <v>4607015188691</v>
      </c>
    </row>
    <row r="1374" spans="1:14" ht="36" customHeight="1" outlineLevel="3" x14ac:dyDescent="0.2">
      <c r="A1374" s="45">
        <v>15555</v>
      </c>
      <c r="B1374" s="37" t="str">
        <f>HYPERLINK("http://sedek.ru/upload/iblock/780/petrushka_playn.jpg","фото")</f>
        <v>фото</v>
      </c>
      <c r="C1374" s="38"/>
      <c r="D1374" s="38"/>
      <c r="E1374" s="39"/>
      <c r="F1374" s="39" t="s">
        <v>1697</v>
      </c>
      <c r="G1374" s="40">
        <v>2</v>
      </c>
      <c r="H1374" s="39" t="s">
        <v>101</v>
      </c>
      <c r="I1374" s="39" t="s">
        <v>102</v>
      </c>
      <c r="J1374" s="41">
        <v>2000</v>
      </c>
      <c r="K1374" s="42">
        <v>19.3</v>
      </c>
      <c r="L1374" s="43"/>
      <c r="M1374" s="43">
        <f>L1374*K1374</f>
        <v>0</v>
      </c>
      <c r="N1374" s="35">
        <v>4607015188707</v>
      </c>
    </row>
    <row r="1375" spans="1:14" ht="36" customHeight="1" outlineLevel="3" x14ac:dyDescent="0.2">
      <c r="A1375" s="45">
        <v>15555</v>
      </c>
      <c r="B1375" s="37" t="str">
        <f>HYPERLINK("http://sedek.ru/upload/iblock/780/petrushka_playn.jpg","фото")</f>
        <v>фото</v>
      </c>
      <c r="C1375" s="38"/>
      <c r="D1375" s="38"/>
      <c r="E1375" s="39"/>
      <c r="F1375" s="39" t="s">
        <v>1698</v>
      </c>
      <c r="G1375" s="40">
        <v>2</v>
      </c>
      <c r="H1375" s="39" t="s">
        <v>101</v>
      </c>
      <c r="I1375" s="39" t="s">
        <v>287</v>
      </c>
      <c r="J1375" s="41">
        <v>2000</v>
      </c>
      <c r="K1375" s="42">
        <v>7</v>
      </c>
      <c r="L1375" s="43"/>
      <c r="M1375" s="43">
        <f>L1375*K1375</f>
        <v>0</v>
      </c>
      <c r="N1375" s="35">
        <v>4607149402915</v>
      </c>
    </row>
    <row r="1376" spans="1:14" ht="36" customHeight="1" outlineLevel="3" x14ac:dyDescent="0.2">
      <c r="A1376" s="45">
        <v>14560</v>
      </c>
      <c r="B1376" s="37" t="str">
        <f>HYPERLINK("http://sedek.ru/upload/iblock/546/petrushka_puchkovaya.jpg","фото")</f>
        <v>фото</v>
      </c>
      <c r="C1376" s="38"/>
      <c r="D1376" s="38"/>
      <c r="E1376" s="39"/>
      <c r="F1376" s="39" t="s">
        <v>1699</v>
      </c>
      <c r="G1376" s="40">
        <v>2</v>
      </c>
      <c r="H1376" s="39" t="s">
        <v>101</v>
      </c>
      <c r="I1376" s="39" t="s">
        <v>102</v>
      </c>
      <c r="J1376" s="41">
        <v>2000</v>
      </c>
      <c r="K1376" s="42">
        <v>20.5</v>
      </c>
      <c r="L1376" s="43"/>
      <c r="M1376" s="43">
        <f>L1376*K1376</f>
        <v>0</v>
      </c>
      <c r="N1376" s="35">
        <v>4690368012461</v>
      </c>
    </row>
    <row r="1377" spans="1:14" ht="36" customHeight="1" outlineLevel="3" x14ac:dyDescent="0.2">
      <c r="A1377" s="46">
        <v>16388</v>
      </c>
      <c r="B1377" s="47" t="str">
        <f>HYPERLINK("http://sedek.ru/upload/iblock/92b/petrushka_sakharnaya.jpg","фото")</f>
        <v>фото</v>
      </c>
      <c r="C1377" s="48"/>
      <c r="D1377" s="48"/>
      <c r="E1377" s="49"/>
      <c r="F1377" s="49" t="s">
        <v>1700</v>
      </c>
      <c r="G1377" s="50">
        <v>2</v>
      </c>
      <c r="H1377" s="49" t="s">
        <v>101</v>
      </c>
      <c r="I1377" s="49" t="s">
        <v>102</v>
      </c>
      <c r="J1377" s="51">
        <v>2000</v>
      </c>
      <c r="K1377" s="52">
        <v>14.8</v>
      </c>
      <c r="L1377" s="53"/>
      <c r="M1377" s="53">
        <f>L1377*K1377</f>
        <v>0</v>
      </c>
      <c r="N1377" s="35">
        <v>4690368008907</v>
      </c>
    </row>
    <row r="1378" spans="1:14" ht="36" customHeight="1" outlineLevel="3" x14ac:dyDescent="0.2">
      <c r="A1378" s="46">
        <v>15716</v>
      </c>
      <c r="B1378" s="47" t="str">
        <f>HYPERLINK("http://sedek.ru/upload/iblock/432/petrushka_sakharnyy_koreshok.jpg","фото")</f>
        <v>фото</v>
      </c>
      <c r="C1378" s="48"/>
      <c r="D1378" s="48"/>
      <c r="E1378" s="49"/>
      <c r="F1378" s="49" t="s">
        <v>1701</v>
      </c>
      <c r="G1378" s="50">
        <v>2</v>
      </c>
      <c r="H1378" s="49" t="s">
        <v>101</v>
      </c>
      <c r="I1378" s="49" t="s">
        <v>102</v>
      </c>
      <c r="J1378" s="51">
        <v>2000</v>
      </c>
      <c r="K1378" s="52">
        <v>19.5</v>
      </c>
      <c r="L1378" s="53"/>
      <c r="M1378" s="53">
        <f>L1378*K1378</f>
        <v>0</v>
      </c>
      <c r="N1378" s="35">
        <v>4690368011075</v>
      </c>
    </row>
    <row r="1379" spans="1:14" ht="36" customHeight="1" outlineLevel="3" x14ac:dyDescent="0.2">
      <c r="A1379" s="71">
        <v>15716</v>
      </c>
      <c r="B1379" s="72" t="str">
        <f>HYPERLINK("http://sedek.ru/upload/iblock/432/petrushka_sakharnyy_koreshok.jpg","фото")</f>
        <v>фото</v>
      </c>
      <c r="C1379" s="73"/>
      <c r="D1379" s="73"/>
      <c r="E1379" s="74"/>
      <c r="F1379" s="74" t="s">
        <v>1702</v>
      </c>
      <c r="G1379" s="75">
        <v>2</v>
      </c>
      <c r="H1379" s="74" t="s">
        <v>101</v>
      </c>
      <c r="I1379" s="74" t="s">
        <v>287</v>
      </c>
      <c r="J1379" s="76">
        <v>2000</v>
      </c>
      <c r="K1379" s="77">
        <v>9.4</v>
      </c>
      <c r="L1379" s="78"/>
      <c r="M1379" s="78">
        <f>L1379*K1379</f>
        <v>0</v>
      </c>
      <c r="N1379" s="79">
        <v>4690368012072</v>
      </c>
    </row>
    <row r="1380" spans="1:14" ht="36" customHeight="1" outlineLevel="3" x14ac:dyDescent="0.2">
      <c r="A1380" s="45">
        <v>16118</v>
      </c>
      <c r="B1380" s="37" t="str">
        <f>HYPERLINK("http://sedek.ru/upload/iblock/35a/petrushka_sladkiy_koreshok.jpg","фото")</f>
        <v>фото</v>
      </c>
      <c r="C1380" s="38"/>
      <c r="D1380" s="38"/>
      <c r="E1380" s="39"/>
      <c r="F1380" s="39" t="s">
        <v>1703</v>
      </c>
      <c r="G1380" s="40">
        <v>2</v>
      </c>
      <c r="H1380" s="39" t="s">
        <v>101</v>
      </c>
      <c r="I1380" s="39" t="s">
        <v>102</v>
      </c>
      <c r="J1380" s="41">
        <v>2000</v>
      </c>
      <c r="K1380" s="42">
        <v>20.5</v>
      </c>
      <c r="L1380" s="43"/>
      <c r="M1380" s="43">
        <f>L1380*K1380</f>
        <v>0</v>
      </c>
      <c r="N1380" s="35">
        <v>4690368005883</v>
      </c>
    </row>
    <row r="1381" spans="1:14" ht="36" customHeight="1" outlineLevel="3" x14ac:dyDescent="0.2">
      <c r="A1381" s="45">
        <v>14706</v>
      </c>
      <c r="B1381" s="37" t="str">
        <f>HYPERLINK("http://sedek.ru/upload/iblock/e85/petrushka_titan.jpg","фото")</f>
        <v>фото</v>
      </c>
      <c r="C1381" s="38"/>
      <c r="D1381" s="38"/>
      <c r="E1381" s="39"/>
      <c r="F1381" s="39" t="s">
        <v>1704</v>
      </c>
      <c r="G1381" s="40">
        <v>2</v>
      </c>
      <c r="H1381" s="39" t="s">
        <v>101</v>
      </c>
      <c r="I1381" s="39" t="s">
        <v>287</v>
      </c>
      <c r="J1381" s="41">
        <v>2000</v>
      </c>
      <c r="K1381" s="42">
        <v>8.9</v>
      </c>
      <c r="L1381" s="43"/>
      <c r="M1381" s="43">
        <f>L1381*K1381</f>
        <v>0</v>
      </c>
      <c r="N1381" s="35">
        <v>2000098176104</v>
      </c>
    </row>
    <row r="1382" spans="1:14" ht="36" customHeight="1" outlineLevel="3" x14ac:dyDescent="0.2">
      <c r="A1382" s="45">
        <v>16490</v>
      </c>
      <c r="B1382" s="37" t="str">
        <f>HYPERLINK("http://sedek.ru/upload/iblock/bef/petrushka_tripleks.jpg","фото")</f>
        <v>фото</v>
      </c>
      <c r="C1382" s="38"/>
      <c r="D1382" s="38"/>
      <c r="E1382" s="39"/>
      <c r="F1382" s="39" t="s">
        <v>1705</v>
      </c>
      <c r="G1382" s="40">
        <v>2</v>
      </c>
      <c r="H1382" s="39" t="s">
        <v>101</v>
      </c>
      <c r="I1382" s="39" t="s">
        <v>102</v>
      </c>
      <c r="J1382" s="41">
        <v>2000</v>
      </c>
      <c r="K1382" s="42">
        <v>20.5</v>
      </c>
      <c r="L1382" s="43"/>
      <c r="M1382" s="43">
        <f>L1382*K1382</f>
        <v>0</v>
      </c>
      <c r="N1382" s="35">
        <v>4607015188721</v>
      </c>
    </row>
    <row r="1383" spans="1:14" ht="12" customHeight="1" outlineLevel="2" x14ac:dyDescent="0.2">
      <c r="A1383" s="22"/>
      <c r="B1383" s="23"/>
      <c r="C1383" s="23"/>
      <c r="D1383" s="23"/>
      <c r="E1383" s="24"/>
      <c r="F1383" s="24" t="s">
        <v>1706</v>
      </c>
      <c r="G1383" s="24"/>
      <c r="H1383" s="24"/>
      <c r="I1383" s="24"/>
      <c r="J1383" s="24"/>
      <c r="K1383" s="24"/>
      <c r="L1383" s="24"/>
      <c r="M1383" s="24"/>
      <c r="N1383" s="25"/>
    </row>
    <row r="1384" spans="1:14" ht="24" customHeight="1" outlineLevel="3" x14ac:dyDescent="0.2">
      <c r="A1384" s="45">
        <v>16553</v>
      </c>
      <c r="B1384" s="37" t="str">
        <f>HYPERLINK("http://sedek.ru/upload/iblock/322/podsolnechnik_lakomka.jpg","фото")</f>
        <v>фото</v>
      </c>
      <c r="C1384" s="38"/>
      <c r="D1384" s="38"/>
      <c r="E1384" s="39"/>
      <c r="F1384" s="39" t="s">
        <v>1707</v>
      </c>
      <c r="G1384" s="40">
        <v>5</v>
      </c>
      <c r="H1384" s="39" t="s">
        <v>101</v>
      </c>
      <c r="I1384" s="39" t="s">
        <v>102</v>
      </c>
      <c r="J1384" s="41">
        <v>1000</v>
      </c>
      <c r="K1384" s="42">
        <v>20.5</v>
      </c>
      <c r="L1384" s="43"/>
      <c r="M1384" s="43">
        <f>L1384*K1384</f>
        <v>0</v>
      </c>
      <c r="N1384" s="35">
        <v>4690368022408</v>
      </c>
    </row>
    <row r="1385" spans="1:14" ht="24" customHeight="1" outlineLevel="3" x14ac:dyDescent="0.2">
      <c r="A1385" s="45">
        <v>16554</v>
      </c>
      <c r="B1385" s="37" t="str">
        <f>HYPERLINK("http://sedek.ru/upload/iblock/c69/podsolnechnik_oreshek.jpg","фото")</f>
        <v>фото</v>
      </c>
      <c r="C1385" s="38"/>
      <c r="D1385" s="38"/>
      <c r="E1385" s="39"/>
      <c r="F1385" s="39" t="s">
        <v>1708</v>
      </c>
      <c r="G1385" s="40">
        <v>5</v>
      </c>
      <c r="H1385" s="39" t="s">
        <v>101</v>
      </c>
      <c r="I1385" s="39" t="s">
        <v>102</v>
      </c>
      <c r="J1385" s="41">
        <v>1000</v>
      </c>
      <c r="K1385" s="42">
        <v>20.5</v>
      </c>
      <c r="L1385" s="43"/>
      <c r="M1385" s="43">
        <f>L1385*K1385</f>
        <v>0</v>
      </c>
      <c r="N1385" s="35">
        <v>4690368022415</v>
      </c>
    </row>
    <row r="1386" spans="1:14" ht="12" customHeight="1" outlineLevel="2" x14ac:dyDescent="0.2">
      <c r="A1386" s="22"/>
      <c r="B1386" s="23"/>
      <c r="C1386" s="23"/>
      <c r="D1386" s="23"/>
      <c r="E1386" s="24"/>
      <c r="F1386" s="24" t="s">
        <v>1709</v>
      </c>
      <c r="G1386" s="24"/>
      <c r="H1386" s="24"/>
      <c r="I1386" s="24"/>
      <c r="J1386" s="24"/>
      <c r="K1386" s="24"/>
      <c r="L1386" s="24"/>
      <c r="M1386" s="24"/>
      <c r="N1386" s="25"/>
    </row>
    <row r="1387" spans="1:14" ht="36" customHeight="1" outlineLevel="3" x14ac:dyDescent="0.2">
      <c r="A1387" s="45">
        <v>15994</v>
      </c>
      <c r="B1387" s="37" t="str">
        <f>HYPERLINK("http://sedek.ru/upload/iblock/b64/amarant_ovoshchnoy_krepysh.jpg","фото")</f>
        <v>фото</v>
      </c>
      <c r="C1387" s="38"/>
      <c r="D1387" s="38"/>
      <c r="E1387" s="39"/>
      <c r="F1387" s="39" t="s">
        <v>1710</v>
      </c>
      <c r="G1387" s="44">
        <v>0.5</v>
      </c>
      <c r="H1387" s="39" t="s">
        <v>101</v>
      </c>
      <c r="I1387" s="39" t="s">
        <v>102</v>
      </c>
      <c r="J1387" s="41">
        <v>3000</v>
      </c>
      <c r="K1387" s="42">
        <v>20.5</v>
      </c>
      <c r="L1387" s="43"/>
      <c r="M1387" s="43">
        <f>L1387*K1387</f>
        <v>0</v>
      </c>
      <c r="N1387" s="35">
        <v>4690368008914</v>
      </c>
    </row>
    <row r="1388" spans="1:14" ht="36" customHeight="1" outlineLevel="3" x14ac:dyDescent="0.2">
      <c r="A1388" s="45">
        <v>14013</v>
      </c>
      <c r="B1388" s="37" t="str">
        <f>HYPERLINK("http://sedek.ru/upload/iblock/25d/anis_obyknovennyy_volshebnyy_eliksir.jpg","фото")</f>
        <v>фото</v>
      </c>
      <c r="C1388" s="38"/>
      <c r="D1388" s="38" t="s">
        <v>266</v>
      </c>
      <c r="E1388" s="39"/>
      <c r="F1388" s="39" t="s">
        <v>1711</v>
      </c>
      <c r="G1388" s="44">
        <v>0.5</v>
      </c>
      <c r="H1388" s="39" t="s">
        <v>101</v>
      </c>
      <c r="I1388" s="39" t="s">
        <v>102</v>
      </c>
      <c r="J1388" s="41">
        <v>3000</v>
      </c>
      <c r="K1388" s="42">
        <v>20.5</v>
      </c>
      <c r="L1388" s="43"/>
      <c r="M1388" s="43">
        <f>L1388*K1388</f>
        <v>0</v>
      </c>
      <c r="N1388" s="35">
        <v>4607015188738</v>
      </c>
    </row>
    <row r="1389" spans="1:14" ht="24" customHeight="1" outlineLevel="3" x14ac:dyDescent="0.2">
      <c r="A1389" s="36" t="s">
        <v>1712</v>
      </c>
      <c r="B1389" s="37" t="str">
        <f>HYPERLINK("http://sedek.ru/upload/iblock/34e/borago_zhemchuzhina_belyy.jpg","фото")</f>
        <v>фото</v>
      </c>
      <c r="C1389" s="38" t="s">
        <v>266</v>
      </c>
      <c r="D1389" s="38"/>
      <c r="E1389" s="39"/>
      <c r="F1389" s="39" t="s">
        <v>1713</v>
      </c>
      <c r="G1389" s="44">
        <v>0.5</v>
      </c>
      <c r="H1389" s="39"/>
      <c r="I1389" s="39" t="s">
        <v>102</v>
      </c>
      <c r="J1389" s="41">
        <v>1500</v>
      </c>
      <c r="K1389" s="42">
        <v>23.1</v>
      </c>
      <c r="L1389" s="43"/>
      <c r="M1389" s="43">
        <f>L1389*K1389</f>
        <v>0</v>
      </c>
      <c r="N1389" s="35">
        <v>4607149403868</v>
      </c>
    </row>
    <row r="1390" spans="1:14" ht="24" customHeight="1" outlineLevel="3" x14ac:dyDescent="0.2">
      <c r="A1390" s="45">
        <v>15874</v>
      </c>
      <c r="B1390" s="37" t="str">
        <f>HYPERLINK("http://www.sedek.ru/upload/iblock/84d/borago_utro.jpg","фото")</f>
        <v>фото</v>
      </c>
      <c r="C1390" s="38"/>
      <c r="D1390" s="38"/>
      <c r="E1390" s="39"/>
      <c r="F1390" s="39" t="s">
        <v>1714</v>
      </c>
      <c r="G1390" s="44">
        <v>0.5</v>
      </c>
      <c r="H1390" s="39" t="s">
        <v>101</v>
      </c>
      <c r="I1390" s="39" t="s">
        <v>102</v>
      </c>
      <c r="J1390" s="41">
        <v>1500</v>
      </c>
      <c r="K1390" s="42">
        <v>20.5</v>
      </c>
      <c r="L1390" s="43"/>
      <c r="M1390" s="43">
        <f>L1390*K1390</f>
        <v>0</v>
      </c>
      <c r="N1390" s="35">
        <v>4607116263419</v>
      </c>
    </row>
    <row r="1391" spans="1:14" ht="36" customHeight="1" outlineLevel="3" x14ac:dyDescent="0.2">
      <c r="A1391" s="45">
        <v>16298</v>
      </c>
      <c r="B1391" s="37" t="str">
        <f>HYPERLINK("http://sedek.ru/upload/iblock/e89/gorchitsa_listovaya_buterbrodnaya.jpg","фото")</f>
        <v>фото</v>
      </c>
      <c r="C1391" s="38"/>
      <c r="D1391" s="38"/>
      <c r="E1391" s="39"/>
      <c r="F1391" s="39" t="s">
        <v>1715</v>
      </c>
      <c r="G1391" s="40">
        <v>1</v>
      </c>
      <c r="H1391" s="39" t="s">
        <v>101</v>
      </c>
      <c r="I1391" s="39" t="s">
        <v>102</v>
      </c>
      <c r="J1391" s="41">
        <v>2000</v>
      </c>
      <c r="K1391" s="42">
        <v>20.5</v>
      </c>
      <c r="L1391" s="43"/>
      <c r="M1391" s="43">
        <f>L1391*K1391</f>
        <v>0</v>
      </c>
      <c r="N1391" s="35">
        <v>4690368007801</v>
      </c>
    </row>
    <row r="1392" spans="1:14" ht="36" customHeight="1" outlineLevel="3" x14ac:dyDescent="0.2">
      <c r="A1392" s="45">
        <v>15746</v>
      </c>
      <c r="B1392" s="37" t="str">
        <f>HYPERLINK("http://www.sedek.ru/upload/iblock/248/gorchitsa_listovaya_volnushka.jpg","фото")</f>
        <v>фото</v>
      </c>
      <c r="C1392" s="38"/>
      <c r="D1392" s="38"/>
      <c r="E1392" s="39"/>
      <c r="F1392" s="39" t="s">
        <v>1716</v>
      </c>
      <c r="G1392" s="40">
        <v>1</v>
      </c>
      <c r="H1392" s="39" t="s">
        <v>101</v>
      </c>
      <c r="I1392" s="39" t="s">
        <v>102</v>
      </c>
      <c r="J1392" s="41">
        <v>2000</v>
      </c>
      <c r="K1392" s="42">
        <v>20.5</v>
      </c>
      <c r="L1392" s="43"/>
      <c r="M1392" s="43">
        <f>L1392*K1392</f>
        <v>0</v>
      </c>
      <c r="N1392" s="35">
        <v>4690368007818</v>
      </c>
    </row>
    <row r="1393" spans="1:14" ht="36" customHeight="1" outlineLevel="3" x14ac:dyDescent="0.2">
      <c r="A1393" s="46">
        <v>15232</v>
      </c>
      <c r="B1393" s="47" t="str">
        <f>HYPERLINK("http://sedek.ru/upload/iblock/5f5/gorchitsa_listovaya_zakusochnaya.jpg","фото")</f>
        <v>фото</v>
      </c>
      <c r="C1393" s="48"/>
      <c r="D1393" s="48"/>
      <c r="E1393" s="49"/>
      <c r="F1393" s="49" t="s">
        <v>1717</v>
      </c>
      <c r="G1393" s="50">
        <v>1</v>
      </c>
      <c r="H1393" s="49" t="s">
        <v>101</v>
      </c>
      <c r="I1393" s="49" t="s">
        <v>102</v>
      </c>
      <c r="J1393" s="51">
        <v>2000</v>
      </c>
      <c r="K1393" s="52">
        <v>19.5</v>
      </c>
      <c r="L1393" s="53"/>
      <c r="M1393" s="53">
        <f>L1393*K1393</f>
        <v>0</v>
      </c>
      <c r="N1393" s="35">
        <v>4690368007825</v>
      </c>
    </row>
    <row r="1394" spans="1:14" ht="36" customHeight="1" outlineLevel="3" x14ac:dyDescent="0.2">
      <c r="A1394" s="36" t="s">
        <v>1718</v>
      </c>
      <c r="B1394" s="37" t="str">
        <f>HYPERLINK("http://www.sedek.ru/upload/iblock/9af/gorchitsa_sarepskaya_krasavitsa_zastolya.jpg","фото")</f>
        <v>фото</v>
      </c>
      <c r="C1394" s="38"/>
      <c r="D1394" s="38"/>
      <c r="E1394" s="39"/>
      <c r="F1394" s="39" t="s">
        <v>1719</v>
      </c>
      <c r="G1394" s="40">
        <v>1</v>
      </c>
      <c r="H1394" s="39" t="s">
        <v>101</v>
      </c>
      <c r="I1394" s="39" t="s">
        <v>102</v>
      </c>
      <c r="J1394" s="41">
        <v>2000</v>
      </c>
      <c r="K1394" s="42">
        <v>20.5</v>
      </c>
      <c r="L1394" s="43"/>
      <c r="M1394" s="43">
        <f>L1394*K1394</f>
        <v>0</v>
      </c>
      <c r="N1394" s="35">
        <v>4690368031349</v>
      </c>
    </row>
    <row r="1395" spans="1:14" ht="36" customHeight="1" outlineLevel="3" x14ac:dyDescent="0.2">
      <c r="A1395" s="45">
        <v>14268</v>
      </c>
      <c r="B1395" s="37" t="str">
        <f>HYPERLINK("http://sedek.ru/upload/iblock/300/gorchitsa_mustang_listovaya_sarepskaya.jpg","фото")</f>
        <v>фото</v>
      </c>
      <c r="C1395" s="38"/>
      <c r="D1395" s="38"/>
      <c r="E1395" s="39"/>
      <c r="F1395" s="39" t="s">
        <v>1720</v>
      </c>
      <c r="G1395" s="40">
        <v>1</v>
      </c>
      <c r="H1395" s="39" t="s">
        <v>101</v>
      </c>
      <c r="I1395" s="39" t="s">
        <v>102</v>
      </c>
      <c r="J1395" s="41">
        <v>2000</v>
      </c>
      <c r="K1395" s="42">
        <v>20.5</v>
      </c>
      <c r="L1395" s="43"/>
      <c r="M1395" s="43">
        <f>L1395*K1395</f>
        <v>0</v>
      </c>
      <c r="N1395" s="35">
        <v>4690368015387</v>
      </c>
    </row>
    <row r="1396" spans="1:14" ht="24" customHeight="1" outlineLevel="3" x14ac:dyDescent="0.2">
      <c r="A1396" s="45">
        <v>16206</v>
      </c>
      <c r="B1396" s="37" t="str">
        <f>HYPERLINK("http://sedek.ru/upload/iblock/648/gorchitsa_listovaya_salatnaya.jpg","фото")</f>
        <v>фото</v>
      </c>
      <c r="C1396" s="38"/>
      <c r="D1396" s="38"/>
      <c r="E1396" s="39"/>
      <c r="F1396" s="39" t="s">
        <v>1721</v>
      </c>
      <c r="G1396" s="40">
        <v>1</v>
      </c>
      <c r="H1396" s="39" t="s">
        <v>101</v>
      </c>
      <c r="I1396" s="39" t="s">
        <v>102</v>
      </c>
      <c r="J1396" s="41">
        <v>2000</v>
      </c>
      <c r="K1396" s="42">
        <v>20.5</v>
      </c>
      <c r="L1396" s="43"/>
      <c r="M1396" s="43">
        <f>L1396*K1396</f>
        <v>0</v>
      </c>
      <c r="N1396" s="35">
        <v>4690368007832</v>
      </c>
    </row>
    <row r="1397" spans="1:14" ht="24" customHeight="1" outlineLevel="3" x14ac:dyDescent="0.2">
      <c r="A1397" s="45">
        <v>15225</v>
      </c>
      <c r="B1397" s="37" t="str">
        <f>HYPERLINK("http://sedek.ru/upload/iblock/428/donnik_zheltyy_utrennyaya_zarya.jpg","фото")</f>
        <v>фото</v>
      </c>
      <c r="C1397" s="38"/>
      <c r="D1397" s="38"/>
      <c r="E1397" s="39"/>
      <c r="F1397" s="39" t="s">
        <v>1722</v>
      </c>
      <c r="G1397" s="40">
        <v>3</v>
      </c>
      <c r="H1397" s="39" t="s">
        <v>101</v>
      </c>
      <c r="I1397" s="39" t="s">
        <v>102</v>
      </c>
      <c r="J1397" s="41">
        <v>2000</v>
      </c>
      <c r="K1397" s="42">
        <v>20.5</v>
      </c>
      <c r="L1397" s="43"/>
      <c r="M1397" s="43">
        <f>L1397*K1397</f>
        <v>0</v>
      </c>
      <c r="N1397" s="35">
        <v>4690368007849</v>
      </c>
    </row>
    <row r="1398" spans="1:14" ht="48" customHeight="1" outlineLevel="3" x14ac:dyDescent="0.2">
      <c r="A1398" s="45">
        <v>14190</v>
      </c>
      <c r="B1398" s="37" t="str">
        <f>HYPERLINK("http://sedek.ru/upload/iblock/6b3/zmeegolovnik_limonnyy_moldavskiy.jpg","фото")</f>
        <v>фото</v>
      </c>
      <c r="C1398" s="38"/>
      <c r="D1398" s="38"/>
      <c r="E1398" s="39"/>
      <c r="F1398" s="39" t="s">
        <v>1723</v>
      </c>
      <c r="G1398" s="44">
        <v>0.5</v>
      </c>
      <c r="H1398" s="39" t="s">
        <v>101</v>
      </c>
      <c r="I1398" s="39" t="s">
        <v>102</v>
      </c>
      <c r="J1398" s="41">
        <v>3000</v>
      </c>
      <c r="K1398" s="42">
        <v>20.5</v>
      </c>
      <c r="L1398" s="43"/>
      <c r="M1398" s="43">
        <f>L1398*K1398</f>
        <v>0</v>
      </c>
      <c r="N1398" s="35">
        <v>4607015188783</v>
      </c>
    </row>
    <row r="1399" spans="1:14" ht="48" customHeight="1" outlineLevel="3" x14ac:dyDescent="0.2">
      <c r="A1399" s="45">
        <v>14509</v>
      </c>
      <c r="B1399" s="37" t="str">
        <f>HYPERLINK("http://sedek.ru/upload/iblock/c38/issop_lekarstvennyy_lekar.jpg","фото")</f>
        <v>фото</v>
      </c>
      <c r="C1399" s="38"/>
      <c r="D1399" s="38"/>
      <c r="E1399" s="39"/>
      <c r="F1399" s="39" t="s">
        <v>1724</v>
      </c>
      <c r="G1399" s="44">
        <v>0.2</v>
      </c>
      <c r="H1399" s="39" t="s">
        <v>101</v>
      </c>
      <c r="I1399" s="39" t="s">
        <v>102</v>
      </c>
      <c r="J1399" s="41">
        <v>3000</v>
      </c>
      <c r="K1399" s="42">
        <v>20.5</v>
      </c>
      <c r="L1399" s="43"/>
      <c r="M1399" s="43">
        <f>L1399*K1399</f>
        <v>0</v>
      </c>
      <c r="N1399" s="35">
        <v>4690368008921</v>
      </c>
    </row>
    <row r="1400" spans="1:14" ht="36" customHeight="1" outlineLevel="3" x14ac:dyDescent="0.2">
      <c r="A1400" s="45">
        <v>16583</v>
      </c>
      <c r="B1400" s="37" t="str">
        <f>HYPERLINK("http://sedek.ru/upload/iblock/241/issop_lekarstvennyy_formula.jpg","фото")</f>
        <v>фото</v>
      </c>
      <c r="C1400" s="38"/>
      <c r="D1400" s="38"/>
      <c r="E1400" s="39"/>
      <c r="F1400" s="39" t="s">
        <v>1725</v>
      </c>
      <c r="G1400" s="44">
        <v>0.2</v>
      </c>
      <c r="H1400" s="39" t="s">
        <v>101</v>
      </c>
      <c r="I1400" s="39" t="s">
        <v>102</v>
      </c>
      <c r="J1400" s="41">
        <v>3000</v>
      </c>
      <c r="K1400" s="42">
        <v>20.5</v>
      </c>
      <c r="L1400" s="43"/>
      <c r="M1400" s="43">
        <f>L1400*K1400</f>
        <v>0</v>
      </c>
      <c r="N1400" s="35">
        <v>4607015188806</v>
      </c>
    </row>
    <row r="1401" spans="1:14" ht="36" customHeight="1" outlineLevel="3" x14ac:dyDescent="0.2">
      <c r="A1401" s="45">
        <v>14549</v>
      </c>
      <c r="B1401" s="37" t="str">
        <f>HYPERLINK("http://sedek.ru/upload/iblock/018/kapusta_pizhon.jpg","фото")</f>
        <v>фото</v>
      </c>
      <c r="C1401" s="38"/>
      <c r="D1401" s="38"/>
      <c r="E1401" s="39"/>
      <c r="F1401" s="39" t="s">
        <v>1726</v>
      </c>
      <c r="G1401" s="44">
        <v>0.5</v>
      </c>
      <c r="H1401" s="39" t="s">
        <v>101</v>
      </c>
      <c r="I1401" s="39" t="s">
        <v>102</v>
      </c>
      <c r="J1401" s="41">
        <v>2000</v>
      </c>
      <c r="K1401" s="42">
        <v>20.5</v>
      </c>
      <c r="L1401" s="43"/>
      <c r="M1401" s="43">
        <f>L1401*K1401</f>
        <v>0</v>
      </c>
      <c r="N1401" s="35">
        <v>4690368004435</v>
      </c>
    </row>
    <row r="1402" spans="1:14" ht="36" customHeight="1" outlineLevel="3" x14ac:dyDescent="0.2">
      <c r="A1402" s="45">
        <v>13751</v>
      </c>
      <c r="B1402" s="37" t="str">
        <f>HYPERLINK("http://sedek.ru/upload/iblock/09d/kervel_aromatnyy.jpg","фото")</f>
        <v>фото</v>
      </c>
      <c r="C1402" s="38"/>
      <c r="D1402" s="38" t="s">
        <v>266</v>
      </c>
      <c r="E1402" s="39"/>
      <c r="F1402" s="39" t="s">
        <v>1727</v>
      </c>
      <c r="G1402" s="44">
        <v>0.5</v>
      </c>
      <c r="H1402" s="39" t="s">
        <v>101</v>
      </c>
      <c r="I1402" s="39" t="s">
        <v>102</v>
      </c>
      <c r="J1402" s="41">
        <v>3000</v>
      </c>
      <c r="K1402" s="42">
        <v>20.5</v>
      </c>
      <c r="L1402" s="43"/>
      <c r="M1402" s="43">
        <f>L1402*K1402</f>
        <v>0</v>
      </c>
      <c r="N1402" s="35">
        <v>4690368008938</v>
      </c>
    </row>
    <row r="1403" spans="1:14" ht="36" customHeight="1" outlineLevel="3" x14ac:dyDescent="0.2">
      <c r="A1403" s="45">
        <v>14291</v>
      </c>
      <c r="B1403" s="37" t="str">
        <f>HYPERLINK("http://sedek.ru/upload/iblock/788/kervel_listovoy_zakusochnyy.jpg","фото")</f>
        <v>фото</v>
      </c>
      <c r="C1403" s="38"/>
      <c r="D1403" s="38"/>
      <c r="E1403" s="39"/>
      <c r="F1403" s="39" t="s">
        <v>1728</v>
      </c>
      <c r="G1403" s="44">
        <v>0.5</v>
      </c>
      <c r="H1403" s="39" t="s">
        <v>101</v>
      </c>
      <c r="I1403" s="39" t="s">
        <v>102</v>
      </c>
      <c r="J1403" s="41">
        <v>3000</v>
      </c>
      <c r="K1403" s="42">
        <v>20.5</v>
      </c>
      <c r="L1403" s="43"/>
      <c r="M1403" s="43">
        <f>L1403*K1403</f>
        <v>0</v>
      </c>
      <c r="N1403" s="35">
        <v>4690368005890</v>
      </c>
    </row>
    <row r="1404" spans="1:14" ht="36" customHeight="1" outlineLevel="3" x14ac:dyDescent="0.2">
      <c r="A1404" s="45">
        <v>14293</v>
      </c>
      <c r="B1404" s="37" t="str">
        <f>HYPERLINK("http://sedek.ru/upload/iblock/3d9/kervel_kurchavyy.jpg","фото")</f>
        <v>фото</v>
      </c>
      <c r="C1404" s="38"/>
      <c r="D1404" s="38"/>
      <c r="E1404" s="39"/>
      <c r="F1404" s="39" t="s">
        <v>1729</v>
      </c>
      <c r="G1404" s="44">
        <v>0.5</v>
      </c>
      <c r="H1404" s="39" t="s">
        <v>101</v>
      </c>
      <c r="I1404" s="39" t="s">
        <v>102</v>
      </c>
      <c r="J1404" s="41">
        <v>3000</v>
      </c>
      <c r="K1404" s="42">
        <v>20.5</v>
      </c>
      <c r="L1404" s="43"/>
      <c r="M1404" s="43">
        <f>L1404*K1404</f>
        <v>0</v>
      </c>
      <c r="N1404" s="35">
        <v>4690368008808</v>
      </c>
    </row>
    <row r="1405" spans="1:14" ht="36" customHeight="1" outlineLevel="3" x14ac:dyDescent="0.2">
      <c r="A1405" s="45">
        <v>13724</v>
      </c>
      <c r="B1405" s="37" t="str">
        <f>HYPERLINK("http://sedek.ru/upload/iblock/8cb/kervel_rassvet.jpg","фото")</f>
        <v>фото</v>
      </c>
      <c r="C1405" s="38"/>
      <c r="D1405" s="38"/>
      <c r="E1405" s="39"/>
      <c r="F1405" s="39" t="s">
        <v>1730</v>
      </c>
      <c r="G1405" s="44">
        <v>0.5</v>
      </c>
      <c r="H1405" s="39" t="s">
        <v>101</v>
      </c>
      <c r="I1405" s="39" t="s">
        <v>102</v>
      </c>
      <c r="J1405" s="41">
        <v>3000</v>
      </c>
      <c r="K1405" s="42">
        <v>20.5</v>
      </c>
      <c r="L1405" s="43"/>
      <c r="M1405" s="43">
        <f>L1405*K1405</f>
        <v>0</v>
      </c>
      <c r="N1405" s="35">
        <v>4607015188820</v>
      </c>
    </row>
    <row r="1406" spans="1:14" ht="36" customHeight="1" outlineLevel="3" x14ac:dyDescent="0.2">
      <c r="A1406" s="45">
        <v>15315</v>
      </c>
      <c r="B1406" s="37" t="str">
        <f>HYPERLINK("http://sedek.ru/upload/iblock/1cd/klever_kruzhevo.jpg","фото")</f>
        <v>фото</v>
      </c>
      <c r="C1406" s="38"/>
      <c r="D1406" s="38"/>
      <c r="E1406" s="39"/>
      <c r="F1406" s="39" t="s">
        <v>1731</v>
      </c>
      <c r="G1406" s="40">
        <v>1</v>
      </c>
      <c r="H1406" s="39" t="s">
        <v>101</v>
      </c>
      <c r="I1406" s="39" t="s">
        <v>102</v>
      </c>
      <c r="J1406" s="41">
        <v>2000</v>
      </c>
      <c r="K1406" s="42">
        <v>20.5</v>
      </c>
      <c r="L1406" s="43"/>
      <c r="M1406" s="43">
        <f>L1406*K1406</f>
        <v>0</v>
      </c>
      <c r="N1406" s="35">
        <v>4690368009553</v>
      </c>
    </row>
    <row r="1407" spans="1:14" ht="36" customHeight="1" outlineLevel="3" x14ac:dyDescent="0.2">
      <c r="A1407" s="45">
        <v>16014</v>
      </c>
      <c r="B1407" s="37" t="str">
        <f>HYPERLINK("http://sedek.ru/upload/iblock/a13/kozlyatnik_lekarstvennyy_siyanie.jpg","фото")</f>
        <v>фото</v>
      </c>
      <c r="C1407" s="38"/>
      <c r="D1407" s="38"/>
      <c r="E1407" s="39"/>
      <c r="F1407" s="39" t="s">
        <v>1732</v>
      </c>
      <c r="G1407" s="40">
        <v>3</v>
      </c>
      <c r="H1407" s="39" t="s">
        <v>101</v>
      </c>
      <c r="I1407" s="39" t="s">
        <v>102</v>
      </c>
      <c r="J1407" s="41">
        <v>3000</v>
      </c>
      <c r="K1407" s="42">
        <v>20.5</v>
      </c>
      <c r="L1407" s="43"/>
      <c r="M1407" s="43">
        <f>L1407*K1407</f>
        <v>0</v>
      </c>
      <c r="N1407" s="35">
        <v>4690368007856</v>
      </c>
    </row>
    <row r="1408" spans="1:14" ht="36" customHeight="1" outlineLevel="3" x14ac:dyDescent="0.2">
      <c r="A1408" s="45">
        <v>14213</v>
      </c>
      <c r="B1408" s="37" t="str">
        <f>HYPERLINK("http://sedek.ru/upload/iblock/aa4/kotovnik_limonnyy_sonnik.jpg","фото")</f>
        <v>фото</v>
      </c>
      <c r="C1408" s="38"/>
      <c r="D1408" s="38"/>
      <c r="E1408" s="39"/>
      <c r="F1408" s="39" t="s">
        <v>1733</v>
      </c>
      <c r="G1408" s="44">
        <v>0.1</v>
      </c>
      <c r="H1408" s="39" t="s">
        <v>101</v>
      </c>
      <c r="I1408" s="39" t="s">
        <v>102</v>
      </c>
      <c r="J1408" s="41">
        <v>4000</v>
      </c>
      <c r="K1408" s="42">
        <v>20.5</v>
      </c>
      <c r="L1408" s="43"/>
      <c r="M1408" s="43">
        <f>L1408*K1408</f>
        <v>0</v>
      </c>
      <c r="N1408" s="35">
        <v>4690368004299</v>
      </c>
    </row>
    <row r="1409" spans="1:14" ht="36" customHeight="1" outlineLevel="3" x14ac:dyDescent="0.2">
      <c r="A1409" s="45">
        <v>16503</v>
      </c>
      <c r="B1409" s="37" t="str">
        <f>HYPERLINK("http://sedek.ru/upload/iblock/ba7/kumin_vostochnaya_skazka.jpg","фото")</f>
        <v>фото</v>
      </c>
      <c r="C1409" s="38"/>
      <c r="D1409" s="38"/>
      <c r="E1409" s="39"/>
      <c r="F1409" s="39" t="s">
        <v>1734</v>
      </c>
      <c r="G1409" s="44">
        <v>0.3</v>
      </c>
      <c r="H1409" s="39" t="s">
        <v>101</v>
      </c>
      <c r="I1409" s="39" t="s">
        <v>102</v>
      </c>
      <c r="J1409" s="41">
        <v>3500</v>
      </c>
      <c r="K1409" s="42">
        <v>20.5</v>
      </c>
      <c r="L1409" s="43"/>
      <c r="M1409" s="43">
        <f>L1409*K1409</f>
        <v>0</v>
      </c>
      <c r="N1409" s="35">
        <v>4690368012928</v>
      </c>
    </row>
    <row r="1410" spans="1:14" ht="48" customHeight="1" outlineLevel="3" x14ac:dyDescent="0.2">
      <c r="A1410" s="46">
        <v>15729</v>
      </c>
      <c r="B1410" s="47" t="str">
        <f>HYPERLINK("http://sedek.ru/upload/iblock/beb/lavanda_yudif.jpg","фото")</f>
        <v>фото</v>
      </c>
      <c r="C1410" s="48"/>
      <c r="D1410" s="48"/>
      <c r="E1410" s="49"/>
      <c r="F1410" s="49" t="s">
        <v>1735</v>
      </c>
      <c r="G1410" s="58">
        <v>0.05</v>
      </c>
      <c r="H1410" s="49" t="s">
        <v>101</v>
      </c>
      <c r="I1410" s="49" t="s">
        <v>102</v>
      </c>
      <c r="J1410" s="51">
        <v>3000</v>
      </c>
      <c r="K1410" s="52">
        <v>19.5</v>
      </c>
      <c r="L1410" s="53"/>
      <c r="M1410" s="53">
        <f>L1410*K1410</f>
        <v>0</v>
      </c>
      <c r="N1410" s="35">
        <v>4607015188851</v>
      </c>
    </row>
    <row r="1411" spans="1:14" ht="36" customHeight="1" outlineLevel="3" x14ac:dyDescent="0.2">
      <c r="A1411" s="36" t="s">
        <v>1736</v>
      </c>
      <c r="B1411" s="37" t="str">
        <f>HYPERLINK("http://sedek.ru/upload/iblock/17c/lebeda_krasnoe_pero_sadovaya_ovoshchnaya_shpinatnaya.jpg","фото")</f>
        <v>фото</v>
      </c>
      <c r="C1411" s="38"/>
      <c r="D1411" s="38"/>
      <c r="E1411" s="39"/>
      <c r="F1411" s="39" t="s">
        <v>1737</v>
      </c>
      <c r="G1411" s="44">
        <v>0.2</v>
      </c>
      <c r="H1411" s="39" t="s">
        <v>101</v>
      </c>
      <c r="I1411" s="39" t="s">
        <v>102</v>
      </c>
      <c r="J1411" s="41">
        <v>2500</v>
      </c>
      <c r="K1411" s="42">
        <v>20.5</v>
      </c>
      <c r="L1411" s="43"/>
      <c r="M1411" s="43">
        <f>L1411*K1411</f>
        <v>0</v>
      </c>
      <c r="N1411" s="35">
        <v>4690368035064</v>
      </c>
    </row>
    <row r="1412" spans="1:14" ht="36" customHeight="1" outlineLevel="3" x14ac:dyDescent="0.2">
      <c r="A1412" s="45">
        <v>15294</v>
      </c>
      <c r="B1412" s="37" t="str">
        <f>HYPERLINK("http://sedek.ru/upload/iblock/c4d/lofant_anisovyy_znakhar.jpg","фото")</f>
        <v>фото</v>
      </c>
      <c r="C1412" s="38"/>
      <c r="D1412" s="38"/>
      <c r="E1412" s="39"/>
      <c r="F1412" s="39" t="s">
        <v>1738</v>
      </c>
      <c r="G1412" s="44">
        <v>0.1</v>
      </c>
      <c r="H1412" s="39" t="s">
        <v>101</v>
      </c>
      <c r="I1412" s="39" t="s">
        <v>102</v>
      </c>
      <c r="J1412" s="41">
        <v>2500</v>
      </c>
      <c r="K1412" s="42">
        <v>23.1</v>
      </c>
      <c r="L1412" s="43"/>
      <c r="M1412" s="43">
        <f>L1412*K1412</f>
        <v>0</v>
      </c>
      <c r="N1412" s="35">
        <v>4607015188868</v>
      </c>
    </row>
    <row r="1413" spans="1:14" ht="48" customHeight="1" outlineLevel="3" x14ac:dyDescent="0.2">
      <c r="A1413" s="45">
        <v>14677</v>
      </c>
      <c r="B1413" s="37" t="str">
        <f>HYPERLINK("http://sedek.ru/upload/iblock/2cc/lofant_anisovyy_snezhok.jpg","фото")</f>
        <v>фото</v>
      </c>
      <c r="C1413" s="38"/>
      <c r="D1413" s="38"/>
      <c r="E1413" s="39"/>
      <c r="F1413" s="39" t="s">
        <v>1739</v>
      </c>
      <c r="G1413" s="44">
        <v>0.1</v>
      </c>
      <c r="H1413" s="39" t="s">
        <v>101</v>
      </c>
      <c r="I1413" s="39" t="s">
        <v>102</v>
      </c>
      <c r="J1413" s="41">
        <v>2500</v>
      </c>
      <c r="K1413" s="42">
        <v>20.5</v>
      </c>
      <c r="L1413" s="43"/>
      <c r="M1413" s="43">
        <f>L1413*K1413</f>
        <v>0</v>
      </c>
      <c r="N1413" s="35">
        <v>4690368015271</v>
      </c>
    </row>
    <row r="1414" spans="1:14" ht="36" customHeight="1" outlineLevel="3" x14ac:dyDescent="0.2">
      <c r="A1414" s="45">
        <v>15901</v>
      </c>
      <c r="B1414" s="37" t="str">
        <f>HYPERLINK("http://sedek.ru/upload/iblock/957/lyubistok_lekarstvennyy_odissey.jpg","фото")</f>
        <v>фото</v>
      </c>
      <c r="C1414" s="38"/>
      <c r="D1414" s="38"/>
      <c r="E1414" s="39"/>
      <c r="F1414" s="39" t="s">
        <v>1740</v>
      </c>
      <c r="G1414" s="44">
        <v>0.1</v>
      </c>
      <c r="H1414" s="39" t="s">
        <v>101</v>
      </c>
      <c r="I1414" s="39" t="s">
        <v>102</v>
      </c>
      <c r="J1414" s="41">
        <v>3000</v>
      </c>
      <c r="K1414" s="42">
        <v>20.5</v>
      </c>
      <c r="L1414" s="43"/>
      <c r="M1414" s="43">
        <f>L1414*K1414</f>
        <v>0</v>
      </c>
      <c r="N1414" s="35">
        <v>4607015188875</v>
      </c>
    </row>
    <row r="1415" spans="1:14" ht="36" customHeight="1" outlineLevel="3" x14ac:dyDescent="0.2">
      <c r="A1415" s="45">
        <v>13794</v>
      </c>
      <c r="B1415" s="37" t="str">
        <f>HYPERLINK("http://sedek.ru/upload/iblock/3b2/lyutserna_sinyaya_simpatiya.jpg","фото")</f>
        <v>фото</v>
      </c>
      <c r="C1415" s="38"/>
      <c r="D1415" s="38"/>
      <c r="E1415" s="39"/>
      <c r="F1415" s="39" t="s">
        <v>1741</v>
      </c>
      <c r="G1415" s="40">
        <v>2</v>
      </c>
      <c r="H1415" s="39" t="s">
        <v>101</v>
      </c>
      <c r="I1415" s="39" t="s">
        <v>102</v>
      </c>
      <c r="J1415" s="41">
        <v>2000</v>
      </c>
      <c r="K1415" s="42">
        <v>24</v>
      </c>
      <c r="L1415" s="43"/>
      <c r="M1415" s="43">
        <f>L1415*K1415</f>
        <v>0</v>
      </c>
      <c r="N1415" s="35">
        <v>4690368007870</v>
      </c>
    </row>
    <row r="1416" spans="1:14" ht="36" customHeight="1" outlineLevel="3" x14ac:dyDescent="0.2">
      <c r="A1416" s="45">
        <v>16505</v>
      </c>
      <c r="B1416" s="37" t="str">
        <f>HYPERLINK("http://sedek.ru/upload/iblock/6bb/mayoran_kustovoy.jpg","фото")</f>
        <v>фото</v>
      </c>
      <c r="C1416" s="38"/>
      <c r="D1416" s="38" t="s">
        <v>266</v>
      </c>
      <c r="E1416" s="39"/>
      <c r="F1416" s="39" t="s">
        <v>1742</v>
      </c>
      <c r="G1416" s="44">
        <v>0.1</v>
      </c>
      <c r="H1416" s="39" t="s">
        <v>101</v>
      </c>
      <c r="I1416" s="39" t="s">
        <v>102</v>
      </c>
      <c r="J1416" s="41">
        <v>4000</v>
      </c>
      <c r="K1416" s="42">
        <v>24.2</v>
      </c>
      <c r="L1416" s="43"/>
      <c r="M1416" s="43">
        <f>L1416*K1416</f>
        <v>0</v>
      </c>
      <c r="N1416" s="35">
        <v>4607149406197</v>
      </c>
    </row>
    <row r="1417" spans="1:14" ht="36" customHeight="1" outlineLevel="3" x14ac:dyDescent="0.2">
      <c r="A1417" s="45">
        <v>15141</v>
      </c>
      <c r="B1417" s="37" t="str">
        <f>HYPERLINK("http://sedek.ru/upload/iblock/84d/mayoran_sadovyy_lakomka.jpg","фото")</f>
        <v>фото</v>
      </c>
      <c r="C1417" s="38"/>
      <c r="D1417" s="38"/>
      <c r="E1417" s="39"/>
      <c r="F1417" s="39" t="s">
        <v>1743</v>
      </c>
      <c r="G1417" s="44">
        <v>0.1</v>
      </c>
      <c r="H1417" s="39" t="s">
        <v>101</v>
      </c>
      <c r="I1417" s="39" t="s">
        <v>102</v>
      </c>
      <c r="J1417" s="41">
        <v>4000</v>
      </c>
      <c r="K1417" s="42">
        <v>20.5</v>
      </c>
      <c r="L1417" s="43"/>
      <c r="M1417" s="43">
        <f>L1417*K1417</f>
        <v>0</v>
      </c>
      <c r="N1417" s="35">
        <v>4690368009171</v>
      </c>
    </row>
    <row r="1418" spans="1:14" ht="48" customHeight="1" outlineLevel="3" x14ac:dyDescent="0.2">
      <c r="A1418" s="36" t="s">
        <v>1744</v>
      </c>
      <c r="B1418" s="37" t="str">
        <f>HYPERLINK("http://sedek.ru/upload/resize_cache/iblock/264/4mawhz90gjhpwhqb7kg0n66g7px60nog/360_9999_140cd750bba9870f18aada2478b24840a/mayoran_sadovyy_mardakush.jpg","фото")</f>
        <v>фото</v>
      </c>
      <c r="C1418" s="38" t="s">
        <v>266</v>
      </c>
      <c r="D1418" s="38"/>
      <c r="E1418" s="39"/>
      <c r="F1418" s="39" t="s">
        <v>1745</v>
      </c>
      <c r="G1418" s="44">
        <v>0.1</v>
      </c>
      <c r="H1418" s="39"/>
      <c r="I1418" s="39" t="s">
        <v>102</v>
      </c>
      <c r="J1418" s="41">
        <v>4000</v>
      </c>
      <c r="K1418" s="42">
        <v>20.5</v>
      </c>
      <c r="L1418" s="43"/>
      <c r="M1418" s="43">
        <f>L1418*K1418</f>
        <v>0</v>
      </c>
      <c r="N1418" s="35">
        <v>4690368043069</v>
      </c>
    </row>
    <row r="1419" spans="1:14" ht="36" customHeight="1" outlineLevel="3" x14ac:dyDescent="0.2">
      <c r="A1419" s="45">
        <v>15911</v>
      </c>
      <c r="B1419" s="37" t="str">
        <f>HYPERLINK("http://sedek.ru/upload/iblock/ac2/mayoran_sadovyy.jpg","фото")</f>
        <v>фото</v>
      </c>
      <c r="C1419" s="38"/>
      <c r="D1419" s="38"/>
      <c r="E1419" s="39"/>
      <c r="F1419" s="39" t="s">
        <v>1746</v>
      </c>
      <c r="G1419" s="44">
        <v>0.1</v>
      </c>
      <c r="H1419" s="39" t="s">
        <v>101</v>
      </c>
      <c r="I1419" s="39" t="s">
        <v>102</v>
      </c>
      <c r="J1419" s="41">
        <v>4000</v>
      </c>
      <c r="K1419" s="42">
        <v>20.5</v>
      </c>
      <c r="L1419" s="43"/>
      <c r="M1419" s="43">
        <f>L1419*K1419</f>
        <v>0</v>
      </c>
      <c r="N1419" s="35">
        <v>4607015188882</v>
      </c>
    </row>
    <row r="1420" spans="1:14" ht="36" customHeight="1" outlineLevel="3" x14ac:dyDescent="0.2">
      <c r="A1420" s="45">
        <v>14678</v>
      </c>
      <c r="B1420" s="37" t="str">
        <f>HYPERLINK("http://sedek.ru/upload/iblock/399/mayoran_sadovyy_termos.jpg","фото")</f>
        <v>фото</v>
      </c>
      <c r="C1420" s="38"/>
      <c r="D1420" s="38"/>
      <c r="E1420" s="39"/>
      <c r="F1420" s="39" t="s">
        <v>1747</v>
      </c>
      <c r="G1420" s="54">
        <v>0.05</v>
      </c>
      <c r="H1420" s="39" t="s">
        <v>101</v>
      </c>
      <c r="I1420" s="39" t="s">
        <v>102</v>
      </c>
      <c r="J1420" s="41">
        <v>4000</v>
      </c>
      <c r="K1420" s="42">
        <v>20.5</v>
      </c>
      <c r="L1420" s="43"/>
      <c r="M1420" s="43">
        <f>L1420*K1420</f>
        <v>0</v>
      </c>
      <c r="N1420" s="35">
        <v>4690368015301</v>
      </c>
    </row>
    <row r="1421" spans="1:14" ht="36" customHeight="1" outlineLevel="3" x14ac:dyDescent="0.2">
      <c r="A1421" s="45">
        <v>13769</v>
      </c>
      <c r="B1421" s="37" t="str">
        <f>HYPERLINK("http://sedek.ru/upload/iblock/965/melissa_limonnaya_nektar.jpg","фото")</f>
        <v>фото</v>
      </c>
      <c r="C1421" s="38"/>
      <c r="D1421" s="38"/>
      <c r="E1421" s="39"/>
      <c r="F1421" s="39" t="s">
        <v>1748</v>
      </c>
      <c r="G1421" s="54">
        <v>0.05</v>
      </c>
      <c r="H1421" s="39" t="s">
        <v>101</v>
      </c>
      <c r="I1421" s="39" t="s">
        <v>102</v>
      </c>
      <c r="J1421" s="41">
        <v>5000</v>
      </c>
      <c r="K1421" s="42">
        <v>20.5</v>
      </c>
      <c r="L1421" s="43"/>
      <c r="M1421" s="43">
        <f>L1421*K1421</f>
        <v>0</v>
      </c>
      <c r="N1421" s="35">
        <v>4607015188899</v>
      </c>
    </row>
    <row r="1422" spans="1:14" ht="36" customHeight="1" outlineLevel="3" x14ac:dyDescent="0.2">
      <c r="A1422" s="45">
        <v>15698</v>
      </c>
      <c r="B1422" s="37" t="str">
        <f>HYPERLINK("http://sedek.ru/upload/iblock/d00/melissa_limonnyy_aromat.jpg","фото")</f>
        <v>фото</v>
      </c>
      <c r="C1422" s="38"/>
      <c r="D1422" s="38"/>
      <c r="E1422" s="39"/>
      <c r="F1422" s="39" t="s">
        <v>1749</v>
      </c>
      <c r="G1422" s="54">
        <v>0.05</v>
      </c>
      <c r="H1422" s="39" t="s">
        <v>101</v>
      </c>
      <c r="I1422" s="39" t="s">
        <v>102</v>
      </c>
      <c r="J1422" s="41">
        <v>5000</v>
      </c>
      <c r="K1422" s="42">
        <v>20.5</v>
      </c>
      <c r="L1422" s="43"/>
      <c r="M1422" s="43">
        <f>L1422*K1422</f>
        <v>0</v>
      </c>
      <c r="N1422" s="35">
        <v>4690368008815</v>
      </c>
    </row>
    <row r="1423" spans="1:14" ht="36" customHeight="1" outlineLevel="3" x14ac:dyDescent="0.2">
      <c r="A1423" s="45">
        <v>15057</v>
      </c>
      <c r="B1423" s="37" t="str">
        <f>HYPERLINK("http://sedek.ru/upload/iblock/cf0/melissa_tsitronella.jpg","фото")</f>
        <v>фото</v>
      </c>
      <c r="C1423" s="38"/>
      <c r="D1423" s="38"/>
      <c r="E1423" s="39"/>
      <c r="F1423" s="39" t="s">
        <v>1750</v>
      </c>
      <c r="G1423" s="54">
        <v>0.05</v>
      </c>
      <c r="H1423" s="39" t="s">
        <v>101</v>
      </c>
      <c r="I1423" s="39" t="s">
        <v>102</v>
      </c>
      <c r="J1423" s="41">
        <v>5000</v>
      </c>
      <c r="K1423" s="42">
        <v>20.5</v>
      </c>
      <c r="L1423" s="43"/>
      <c r="M1423" s="43">
        <f>L1423*K1423</f>
        <v>0</v>
      </c>
      <c r="N1423" s="35">
        <v>4607149401697</v>
      </c>
    </row>
    <row r="1424" spans="1:14" ht="36" customHeight="1" outlineLevel="3" x14ac:dyDescent="0.2">
      <c r="A1424" s="45">
        <v>14396</v>
      </c>
      <c r="B1424" s="37" t="str">
        <f>HYPERLINK("http://sedek.ru/upload/iblock/982/myata_bolotnaya_sonya.jpg","фото")</f>
        <v>фото</v>
      </c>
      <c r="C1424" s="38"/>
      <c r="D1424" s="38"/>
      <c r="E1424" s="39"/>
      <c r="F1424" s="39" t="s">
        <v>1751</v>
      </c>
      <c r="G1424" s="54">
        <v>0.05</v>
      </c>
      <c r="H1424" s="39" t="s">
        <v>101</v>
      </c>
      <c r="I1424" s="39" t="s">
        <v>102</v>
      </c>
      <c r="J1424" s="41">
        <v>5000</v>
      </c>
      <c r="K1424" s="42">
        <v>27.7</v>
      </c>
      <c r="L1424" s="43"/>
      <c r="M1424" s="43">
        <f>L1424*K1424</f>
        <v>0</v>
      </c>
      <c r="N1424" s="35">
        <v>4690368009607</v>
      </c>
    </row>
    <row r="1425" spans="1:14" ht="36" customHeight="1" outlineLevel="3" x14ac:dyDescent="0.2">
      <c r="A1425" s="45">
        <v>16420</v>
      </c>
      <c r="B1425" s="37" t="str">
        <f>HYPERLINK("http://sedek.ru/upload/iblock/96d/myata_perechnaya_legkoe_dykhanie.jpg","фото")</f>
        <v>фото</v>
      </c>
      <c r="C1425" s="38"/>
      <c r="D1425" s="38"/>
      <c r="E1425" s="39"/>
      <c r="F1425" s="39" t="s">
        <v>1752</v>
      </c>
      <c r="G1425" s="54">
        <v>0.05</v>
      </c>
      <c r="H1425" s="39" t="s">
        <v>101</v>
      </c>
      <c r="I1425" s="39" t="s">
        <v>102</v>
      </c>
      <c r="J1425" s="41">
        <v>5000</v>
      </c>
      <c r="K1425" s="42">
        <v>27.7</v>
      </c>
      <c r="L1425" s="43"/>
      <c r="M1425" s="43">
        <f>L1425*K1425</f>
        <v>0</v>
      </c>
      <c r="N1425" s="35">
        <v>4607015188912</v>
      </c>
    </row>
    <row r="1426" spans="1:14" ht="36" customHeight="1" outlineLevel="3" x14ac:dyDescent="0.2">
      <c r="A1426" s="36" t="s">
        <v>1753</v>
      </c>
      <c r="B1426" s="37" t="str">
        <f>HYPERLINK("http://www.sedek.ru/upload/iblock/d0f/myata_ovoshchnaya_mentol.jpg","фото")</f>
        <v>фото</v>
      </c>
      <c r="C1426" s="38"/>
      <c r="D1426" s="38"/>
      <c r="E1426" s="39"/>
      <c r="F1426" s="39" t="s">
        <v>1754</v>
      </c>
      <c r="G1426" s="54">
        <v>0.05</v>
      </c>
      <c r="H1426" s="39" t="s">
        <v>101</v>
      </c>
      <c r="I1426" s="39" t="s">
        <v>102</v>
      </c>
      <c r="J1426" s="41">
        <v>5000</v>
      </c>
      <c r="K1426" s="42">
        <v>33</v>
      </c>
      <c r="L1426" s="43"/>
      <c r="M1426" s="43">
        <f>L1426*K1426</f>
        <v>0</v>
      </c>
      <c r="N1426" s="35">
        <v>4690368032629</v>
      </c>
    </row>
    <row r="1427" spans="1:14" ht="36" customHeight="1" outlineLevel="3" x14ac:dyDescent="0.2">
      <c r="A1427" s="45">
        <v>13803</v>
      </c>
      <c r="B1427" s="37" t="str">
        <f>HYPERLINK("http://sedek.ru/upload/iblock/011/myata_perechnaya.jpg","фото")</f>
        <v>фото</v>
      </c>
      <c r="C1427" s="38"/>
      <c r="D1427" s="38"/>
      <c r="E1427" s="39"/>
      <c r="F1427" s="39" t="s">
        <v>1755</v>
      </c>
      <c r="G1427" s="54">
        <v>0.05</v>
      </c>
      <c r="H1427" s="39" t="s">
        <v>101</v>
      </c>
      <c r="I1427" s="39" t="s">
        <v>102</v>
      </c>
      <c r="J1427" s="41">
        <v>5000</v>
      </c>
      <c r="K1427" s="42">
        <v>27.7</v>
      </c>
      <c r="L1427" s="43"/>
      <c r="M1427" s="43">
        <f>L1427*K1427</f>
        <v>0</v>
      </c>
      <c r="N1427" s="35">
        <v>4690368007887</v>
      </c>
    </row>
    <row r="1428" spans="1:14" ht="36" customHeight="1" outlineLevel="3" x14ac:dyDescent="0.2">
      <c r="A1428" s="45">
        <v>13557</v>
      </c>
      <c r="B1428" s="37" t="str">
        <f>HYPERLINK("http://sedek.ru/upload/iblock/9d9/myata_kolosistaya_tseremoniya.jpg","фото")</f>
        <v>фото</v>
      </c>
      <c r="C1428" s="38"/>
      <c r="D1428" s="38"/>
      <c r="E1428" s="39"/>
      <c r="F1428" s="39" t="s">
        <v>1756</v>
      </c>
      <c r="G1428" s="54">
        <v>0.05</v>
      </c>
      <c r="H1428" s="39" t="s">
        <v>101</v>
      </c>
      <c r="I1428" s="39" t="s">
        <v>102</v>
      </c>
      <c r="J1428" s="41">
        <v>5000</v>
      </c>
      <c r="K1428" s="42">
        <v>27.7</v>
      </c>
      <c r="L1428" s="43"/>
      <c r="M1428" s="43">
        <f>L1428*K1428</f>
        <v>0</v>
      </c>
      <c r="N1428" s="35">
        <v>4690368007030</v>
      </c>
    </row>
    <row r="1429" spans="1:14" ht="36" customHeight="1" outlineLevel="3" x14ac:dyDescent="0.2">
      <c r="A1429" s="45">
        <v>15534</v>
      </c>
      <c r="B1429" s="37" t="str">
        <f>HYPERLINK("http://sedek.ru/upload/iblock/942/pazhitnik_grecheskiy_shambala.jpg","фото")</f>
        <v>фото</v>
      </c>
      <c r="C1429" s="38"/>
      <c r="D1429" s="38"/>
      <c r="E1429" s="39"/>
      <c r="F1429" s="39" t="s">
        <v>1757</v>
      </c>
      <c r="G1429" s="40">
        <v>1</v>
      </c>
      <c r="H1429" s="39" t="s">
        <v>101</v>
      </c>
      <c r="I1429" s="39" t="s">
        <v>102</v>
      </c>
      <c r="J1429" s="41">
        <v>1500</v>
      </c>
      <c r="K1429" s="42">
        <v>20.5</v>
      </c>
      <c r="L1429" s="43"/>
      <c r="M1429" s="43">
        <f>L1429*K1429</f>
        <v>0</v>
      </c>
      <c r="N1429" s="35">
        <v>4690368004398</v>
      </c>
    </row>
    <row r="1430" spans="1:14" ht="36" customHeight="1" outlineLevel="3" x14ac:dyDescent="0.2">
      <c r="A1430" s="55" t="s">
        <v>1758</v>
      </c>
      <c r="B1430" s="47" t="str">
        <f>HYPERLINK("http://sedek.ru/upload/iblock/105/pasternak_luchshiy_iz_vsekh.jpg","фото")</f>
        <v>фото</v>
      </c>
      <c r="C1430" s="48"/>
      <c r="D1430" s="48"/>
      <c r="E1430" s="49"/>
      <c r="F1430" s="49" t="s">
        <v>1759</v>
      </c>
      <c r="G1430" s="50">
        <v>1</v>
      </c>
      <c r="H1430" s="49" t="s">
        <v>101</v>
      </c>
      <c r="I1430" s="49" t="s">
        <v>102</v>
      </c>
      <c r="J1430" s="51">
        <v>2500</v>
      </c>
      <c r="K1430" s="52">
        <v>19.5</v>
      </c>
      <c r="L1430" s="53"/>
      <c r="M1430" s="53">
        <f>L1430*K1430</f>
        <v>0</v>
      </c>
      <c r="N1430" s="35">
        <v>4690368031028</v>
      </c>
    </row>
    <row r="1431" spans="1:14" ht="24" customHeight="1" outlineLevel="3" x14ac:dyDescent="0.2">
      <c r="A1431" s="45">
        <v>15255</v>
      </c>
      <c r="B1431" s="37" t="str">
        <f>HYPERLINK("http://sedek.ru/upload/iblock/bbb/pasternak_student.jpg","фото")</f>
        <v>фото</v>
      </c>
      <c r="C1431" s="38" t="s">
        <v>266</v>
      </c>
      <c r="D1431" s="38"/>
      <c r="E1431" s="39"/>
      <c r="F1431" s="39" t="s">
        <v>1760</v>
      </c>
      <c r="G1431" s="40">
        <v>1</v>
      </c>
      <c r="H1431" s="39" t="s">
        <v>101</v>
      </c>
      <c r="I1431" s="39" t="s">
        <v>102</v>
      </c>
      <c r="J1431" s="41">
        <v>2500</v>
      </c>
      <c r="K1431" s="42">
        <v>20.5</v>
      </c>
      <c r="L1431" s="43"/>
      <c r="M1431" s="43">
        <f>L1431*K1431</f>
        <v>0</v>
      </c>
      <c r="N1431" s="35">
        <v>4607116266922</v>
      </c>
    </row>
    <row r="1432" spans="1:14" ht="36" customHeight="1" outlineLevel="3" x14ac:dyDescent="0.2">
      <c r="A1432" s="45">
        <v>15362</v>
      </c>
      <c r="B1432" s="37" t="str">
        <f>HYPERLINK("http://sedek.ru/upload/iblock/ed4/portulak_ogorodnyy_vostochnaya_zakuska.jpg","фото")</f>
        <v>фото</v>
      </c>
      <c r="C1432" s="38" t="s">
        <v>266</v>
      </c>
      <c r="D1432" s="38"/>
      <c r="E1432" s="39"/>
      <c r="F1432" s="39" t="s">
        <v>1761</v>
      </c>
      <c r="G1432" s="44">
        <v>0.1</v>
      </c>
      <c r="H1432" s="39" t="s">
        <v>101</v>
      </c>
      <c r="I1432" s="39" t="s">
        <v>102</v>
      </c>
      <c r="J1432" s="41">
        <v>3000</v>
      </c>
      <c r="K1432" s="42">
        <v>20.5</v>
      </c>
      <c r="L1432" s="43"/>
      <c r="M1432" s="43">
        <f>L1432*K1432</f>
        <v>0</v>
      </c>
      <c r="N1432" s="35">
        <v>4690368006064</v>
      </c>
    </row>
    <row r="1433" spans="1:14" ht="36" customHeight="1" outlineLevel="3" x14ac:dyDescent="0.2">
      <c r="A1433" s="45">
        <v>16574</v>
      </c>
      <c r="B1433" s="37" t="str">
        <f>HYPERLINK("http://sedek.ru/upload/iblock/722/reven_chereshkovyy_viktoriya.jpg","фото")</f>
        <v>фото</v>
      </c>
      <c r="C1433" s="38"/>
      <c r="D1433" s="38"/>
      <c r="E1433" s="39"/>
      <c r="F1433" s="39" t="s">
        <v>1762</v>
      </c>
      <c r="G1433" s="44">
        <v>0.1</v>
      </c>
      <c r="H1433" s="39" t="s">
        <v>101</v>
      </c>
      <c r="I1433" s="39" t="s">
        <v>102</v>
      </c>
      <c r="J1433" s="41">
        <v>3000</v>
      </c>
      <c r="K1433" s="42">
        <v>20.5</v>
      </c>
      <c r="L1433" s="43"/>
      <c r="M1433" s="43">
        <f>L1433*K1433</f>
        <v>0</v>
      </c>
      <c r="N1433" s="35">
        <v>4690368008839</v>
      </c>
    </row>
    <row r="1434" spans="1:14" ht="36" customHeight="1" outlineLevel="3" x14ac:dyDescent="0.2">
      <c r="A1434" s="45">
        <v>14095</v>
      </c>
      <c r="B1434" s="37" t="str">
        <f>HYPERLINK("http://sedek.ru/upload/iblock/3c7/reven_chereshkovyy_kompotnyy.jpg","фото")</f>
        <v>фото</v>
      </c>
      <c r="C1434" s="38"/>
      <c r="D1434" s="38"/>
      <c r="E1434" s="39"/>
      <c r="F1434" s="39" t="s">
        <v>1763</v>
      </c>
      <c r="G1434" s="44">
        <v>0.1</v>
      </c>
      <c r="H1434" s="39" t="s">
        <v>101</v>
      </c>
      <c r="I1434" s="39" t="s">
        <v>102</v>
      </c>
      <c r="J1434" s="41">
        <v>3000</v>
      </c>
      <c r="K1434" s="42">
        <v>20.5</v>
      </c>
      <c r="L1434" s="43"/>
      <c r="M1434" s="43">
        <f>L1434*K1434</f>
        <v>0</v>
      </c>
      <c r="N1434" s="35">
        <v>4690368004305</v>
      </c>
    </row>
    <row r="1435" spans="1:14" ht="24" customHeight="1" outlineLevel="3" x14ac:dyDescent="0.2">
      <c r="A1435" s="45">
        <v>14182</v>
      </c>
      <c r="B1435" s="37" t="str">
        <f>HYPERLINK("http://sedek.ru/upload/iblock/6c8/repa_tokio_listovaya.jpg","фото")</f>
        <v>фото</v>
      </c>
      <c r="C1435" s="38"/>
      <c r="D1435" s="38"/>
      <c r="E1435" s="39"/>
      <c r="F1435" s="39" t="s">
        <v>1764</v>
      </c>
      <c r="G1435" s="44">
        <v>0.5</v>
      </c>
      <c r="H1435" s="39" t="s">
        <v>101</v>
      </c>
      <c r="I1435" s="39" t="s">
        <v>102</v>
      </c>
      <c r="J1435" s="41">
        <v>3000</v>
      </c>
      <c r="K1435" s="42">
        <v>20.5</v>
      </c>
      <c r="L1435" s="43"/>
      <c r="M1435" s="43">
        <f>L1435*K1435</f>
        <v>0</v>
      </c>
      <c r="N1435" s="35">
        <v>4690368025393</v>
      </c>
    </row>
    <row r="1436" spans="1:14" ht="48" customHeight="1" outlineLevel="3" x14ac:dyDescent="0.2">
      <c r="A1436" s="45">
        <v>14517</v>
      </c>
      <c r="B1436" s="37" t="str">
        <f>HYPERLINK("http://sedek.ru/upload/iblock/889/rozmarin_nezhnost.jpg","фото")</f>
        <v>фото</v>
      </c>
      <c r="C1436" s="38"/>
      <c r="D1436" s="38"/>
      <c r="E1436" s="39"/>
      <c r="F1436" s="39" t="s">
        <v>1765</v>
      </c>
      <c r="G1436" s="54">
        <v>0.05</v>
      </c>
      <c r="H1436" s="39" t="s">
        <v>101</v>
      </c>
      <c r="I1436" s="39" t="s">
        <v>102</v>
      </c>
      <c r="J1436" s="41">
        <v>4000</v>
      </c>
      <c r="K1436" s="42">
        <v>40.299999999999997</v>
      </c>
      <c r="L1436" s="43"/>
      <c r="M1436" s="43">
        <f>L1436*K1436</f>
        <v>0</v>
      </c>
      <c r="N1436" s="35">
        <v>4690368008945</v>
      </c>
    </row>
    <row r="1437" spans="1:14" ht="59.1" customHeight="1" outlineLevel="3" x14ac:dyDescent="0.2">
      <c r="A1437" s="45">
        <v>16427</v>
      </c>
      <c r="B1437" s="37" t="str">
        <f>HYPERLINK("http://sedek.ru/upload/iblock/627/rozmarin_richard.jpg","фото")</f>
        <v>фото</v>
      </c>
      <c r="C1437" s="38"/>
      <c r="D1437" s="38"/>
      <c r="E1437" s="39"/>
      <c r="F1437" s="39" t="s">
        <v>1766</v>
      </c>
      <c r="G1437" s="54">
        <v>0.05</v>
      </c>
      <c r="H1437" s="39" t="s">
        <v>101</v>
      </c>
      <c r="I1437" s="39" t="s">
        <v>102</v>
      </c>
      <c r="J1437" s="41">
        <v>4000</v>
      </c>
      <c r="K1437" s="42">
        <v>40.299999999999997</v>
      </c>
      <c r="L1437" s="43"/>
      <c r="M1437" s="43">
        <f>L1437*K1437</f>
        <v>0</v>
      </c>
      <c r="N1437" s="35">
        <v>4607116266915</v>
      </c>
    </row>
    <row r="1438" spans="1:14" ht="59.1" customHeight="1" outlineLevel="3" x14ac:dyDescent="0.2">
      <c r="A1438" s="45">
        <v>13805</v>
      </c>
      <c r="B1438" s="37" t="str">
        <f>HYPERLINK("http://sedek.ru/upload/iblock/fbb/ruta_ovoshchnaya_kruzhevnitsa.jpg","фото")</f>
        <v>фото</v>
      </c>
      <c r="C1438" s="38"/>
      <c r="D1438" s="38"/>
      <c r="E1438" s="39"/>
      <c r="F1438" s="39" t="s">
        <v>1767</v>
      </c>
      <c r="G1438" s="44">
        <v>0.1</v>
      </c>
      <c r="H1438" s="39" t="s">
        <v>101</v>
      </c>
      <c r="I1438" s="39" t="s">
        <v>102</v>
      </c>
      <c r="J1438" s="41">
        <v>3000</v>
      </c>
      <c r="K1438" s="42">
        <v>20.5</v>
      </c>
      <c r="L1438" s="43"/>
      <c r="M1438" s="43">
        <f>L1438*K1438</f>
        <v>0</v>
      </c>
      <c r="N1438" s="35">
        <v>4607149401703</v>
      </c>
    </row>
    <row r="1439" spans="1:14" ht="36" customHeight="1" outlineLevel="3" x14ac:dyDescent="0.2">
      <c r="A1439" s="45">
        <v>15784</v>
      </c>
      <c r="B1439" s="37" t="str">
        <f>HYPERLINK("http://sedek.ru/upload/iblock/b75/skortsonera_lechebnyy.jpg","фото")</f>
        <v>фото</v>
      </c>
      <c r="C1439" s="38"/>
      <c r="D1439" s="38"/>
      <c r="E1439" s="39"/>
      <c r="F1439" s="39" t="s">
        <v>1768</v>
      </c>
      <c r="G1439" s="44">
        <v>0.5</v>
      </c>
      <c r="H1439" s="39" t="s">
        <v>101</v>
      </c>
      <c r="I1439" s="39" t="s">
        <v>102</v>
      </c>
      <c r="J1439" s="41">
        <v>3000</v>
      </c>
      <c r="K1439" s="42">
        <v>20.5</v>
      </c>
      <c r="L1439" s="43"/>
      <c r="M1439" s="43">
        <f>L1439*K1439</f>
        <v>0</v>
      </c>
      <c r="N1439" s="35">
        <v>4690368008976</v>
      </c>
    </row>
    <row r="1440" spans="1:14" ht="48" customHeight="1" outlineLevel="3" x14ac:dyDescent="0.2">
      <c r="A1440" s="45">
        <v>29307</v>
      </c>
      <c r="B1440" s="37" t="str">
        <f>HYPERLINK("http://www.sedek.ru/upload/iblock/806/timyan_ovoshchnoy_chabrets_zmeyka.jpg","фото")</f>
        <v>фото</v>
      </c>
      <c r="C1440" s="38"/>
      <c r="D1440" s="38"/>
      <c r="E1440" s="39"/>
      <c r="F1440" s="39" t="s">
        <v>1769</v>
      </c>
      <c r="G1440" s="54">
        <v>0.05</v>
      </c>
      <c r="H1440" s="39" t="s">
        <v>101</v>
      </c>
      <c r="I1440" s="39" t="s">
        <v>102</v>
      </c>
      <c r="J1440" s="41">
        <v>4000</v>
      </c>
      <c r="K1440" s="42">
        <v>23.5</v>
      </c>
      <c r="L1440" s="43"/>
      <c r="M1440" s="43">
        <f>L1440*K1440</f>
        <v>0</v>
      </c>
      <c r="N1440" s="35">
        <v>4690368008952</v>
      </c>
    </row>
    <row r="1441" spans="1:14" ht="36" customHeight="1" outlineLevel="3" x14ac:dyDescent="0.2">
      <c r="A1441" s="45">
        <v>14329</v>
      </c>
      <c r="B1441" s="37" t="str">
        <f>HYPERLINK("http://sedek.ru/upload/iblock/a86/timyan_pikantnyy.jpg","фото")</f>
        <v>фото</v>
      </c>
      <c r="C1441" s="38"/>
      <c r="D1441" s="38"/>
      <c r="E1441" s="39"/>
      <c r="F1441" s="39" t="s">
        <v>1770</v>
      </c>
      <c r="G1441" s="54">
        <v>0.05</v>
      </c>
      <c r="H1441" s="39" t="s">
        <v>101</v>
      </c>
      <c r="I1441" s="39" t="s">
        <v>102</v>
      </c>
      <c r="J1441" s="41">
        <v>4000</v>
      </c>
      <c r="K1441" s="42">
        <v>20.5</v>
      </c>
      <c r="L1441" s="43"/>
      <c r="M1441" s="43">
        <f>L1441*K1441</f>
        <v>0</v>
      </c>
      <c r="N1441" s="35">
        <v>4690368016995</v>
      </c>
    </row>
    <row r="1442" spans="1:14" ht="36" customHeight="1" outlineLevel="3" x14ac:dyDescent="0.2">
      <c r="A1442" s="46">
        <v>15169</v>
      </c>
      <c r="B1442" s="47" t="str">
        <f>HYPERLINK("http://sedek.ru/upload/iblock/b33/timyan_chabrets_tarzan.jpg","фото")</f>
        <v>фото</v>
      </c>
      <c r="C1442" s="48"/>
      <c r="D1442" s="48"/>
      <c r="E1442" s="49"/>
      <c r="F1442" s="49" t="s">
        <v>1771</v>
      </c>
      <c r="G1442" s="58">
        <v>0.05</v>
      </c>
      <c r="H1442" s="49" t="s">
        <v>101</v>
      </c>
      <c r="I1442" s="49" t="s">
        <v>102</v>
      </c>
      <c r="J1442" s="51">
        <v>4000</v>
      </c>
      <c r="K1442" s="52">
        <v>19.5</v>
      </c>
      <c r="L1442" s="53"/>
      <c r="M1442" s="53">
        <f>L1442*K1442</f>
        <v>0</v>
      </c>
      <c r="N1442" s="35">
        <v>4607116266939</v>
      </c>
    </row>
    <row r="1443" spans="1:14" ht="24" customHeight="1" outlineLevel="3" x14ac:dyDescent="0.2">
      <c r="A1443" s="45">
        <v>14870</v>
      </c>
      <c r="B1443" s="37" t="str">
        <f>HYPERLINK("http://sedek.ru/upload/iblock/19a/tmin_khlebnyy.jpg","фото")</f>
        <v>фото</v>
      </c>
      <c r="C1443" s="38"/>
      <c r="D1443" s="38" t="s">
        <v>266</v>
      </c>
      <c r="E1443" s="39"/>
      <c r="F1443" s="39" t="s">
        <v>1772</v>
      </c>
      <c r="G1443" s="44">
        <v>0.3</v>
      </c>
      <c r="H1443" s="39" t="s">
        <v>101</v>
      </c>
      <c r="I1443" s="39" t="s">
        <v>102</v>
      </c>
      <c r="J1443" s="41">
        <v>2500</v>
      </c>
      <c r="K1443" s="42">
        <v>20.5</v>
      </c>
      <c r="L1443" s="43"/>
      <c r="M1443" s="43">
        <f>L1443*K1443</f>
        <v>0</v>
      </c>
      <c r="N1443" s="35">
        <v>4607015188998</v>
      </c>
    </row>
    <row r="1444" spans="1:14" ht="36" customHeight="1" outlineLevel="3" x14ac:dyDescent="0.2">
      <c r="A1444" s="45">
        <v>14535</v>
      </c>
      <c r="B1444" s="37" t="str">
        <f>HYPERLINK("http://sedek.ru/upload/iblock/d42/fatseliya_golubaya_mechta.jpg","фото")</f>
        <v>фото</v>
      </c>
      <c r="C1444" s="38"/>
      <c r="D1444" s="38"/>
      <c r="E1444" s="39"/>
      <c r="F1444" s="39" t="s">
        <v>1773</v>
      </c>
      <c r="G1444" s="40">
        <v>2</v>
      </c>
      <c r="H1444" s="39" t="s">
        <v>101</v>
      </c>
      <c r="I1444" s="39" t="s">
        <v>102</v>
      </c>
      <c r="J1444" s="41">
        <v>1000</v>
      </c>
      <c r="K1444" s="42">
        <v>20.5</v>
      </c>
      <c r="L1444" s="43"/>
      <c r="M1444" s="43">
        <f>L1444*K1444</f>
        <v>0</v>
      </c>
      <c r="N1444" s="35">
        <v>4690368006149</v>
      </c>
    </row>
    <row r="1445" spans="1:14" ht="48" customHeight="1" outlineLevel="3" x14ac:dyDescent="0.2">
      <c r="A1445" s="45">
        <v>14691</v>
      </c>
      <c r="B1445" s="37" t="str">
        <f>HYPERLINK("http://sedek.ru/upload/iblock/d1e/chaber_sadovyy_argonavt.jpg","фото")</f>
        <v>фото</v>
      </c>
      <c r="C1445" s="38"/>
      <c r="D1445" s="38"/>
      <c r="E1445" s="39"/>
      <c r="F1445" s="39" t="s">
        <v>1774</v>
      </c>
      <c r="G1445" s="44">
        <v>0.1</v>
      </c>
      <c r="H1445" s="39" t="s">
        <v>101</v>
      </c>
      <c r="I1445" s="39" t="s">
        <v>102</v>
      </c>
      <c r="J1445" s="41">
        <v>4000</v>
      </c>
      <c r="K1445" s="42">
        <v>20.5</v>
      </c>
      <c r="L1445" s="43"/>
      <c r="M1445" s="43">
        <f>L1445*K1445</f>
        <v>0</v>
      </c>
      <c r="N1445" s="35">
        <v>4607015189001</v>
      </c>
    </row>
    <row r="1446" spans="1:14" ht="36" customHeight="1" outlineLevel="3" x14ac:dyDescent="0.2">
      <c r="A1446" s="45">
        <v>14387</v>
      </c>
      <c r="B1446" s="37" t="str">
        <f>HYPERLINK("http://sedek.ru/upload/iblock/fd5/chaber_gorets.jpg","фото")</f>
        <v>фото</v>
      </c>
      <c r="C1446" s="38"/>
      <c r="D1446" s="38"/>
      <c r="E1446" s="39"/>
      <c r="F1446" s="39" t="s">
        <v>1775</v>
      </c>
      <c r="G1446" s="54">
        <v>0.05</v>
      </c>
      <c r="H1446" s="39" t="s">
        <v>101</v>
      </c>
      <c r="I1446" s="39" t="s">
        <v>102</v>
      </c>
      <c r="J1446" s="41">
        <v>4000</v>
      </c>
      <c r="K1446" s="42">
        <v>20.5</v>
      </c>
      <c r="L1446" s="43"/>
      <c r="M1446" s="43">
        <f>L1446*K1446</f>
        <v>0</v>
      </c>
      <c r="N1446" s="35">
        <v>4690368006088</v>
      </c>
    </row>
    <row r="1447" spans="1:14" ht="59.1" customHeight="1" outlineLevel="3" x14ac:dyDescent="0.2">
      <c r="A1447" s="45">
        <v>16318</v>
      </c>
      <c r="B1447" s="37" t="str">
        <f>HYPERLINK("http://sedek.ru/upload/iblock/145/chaber_ogorodnyy_aromatnyy.jpg","фото")</f>
        <v>фото</v>
      </c>
      <c r="C1447" s="38"/>
      <c r="D1447" s="38"/>
      <c r="E1447" s="39"/>
      <c r="F1447" s="39" t="s">
        <v>1776</v>
      </c>
      <c r="G1447" s="44">
        <v>0.1</v>
      </c>
      <c r="H1447" s="39" t="s">
        <v>101</v>
      </c>
      <c r="I1447" s="39" t="s">
        <v>102</v>
      </c>
      <c r="J1447" s="41">
        <v>4000</v>
      </c>
      <c r="K1447" s="42">
        <v>20.5</v>
      </c>
      <c r="L1447" s="43"/>
      <c r="M1447" s="43">
        <f>L1447*K1447</f>
        <v>0</v>
      </c>
      <c r="N1447" s="35">
        <v>4690368008990</v>
      </c>
    </row>
    <row r="1448" spans="1:14" ht="24" customHeight="1" outlineLevel="3" x14ac:dyDescent="0.2">
      <c r="A1448" s="36" t="s">
        <v>1777</v>
      </c>
      <c r="B1448" s="37"/>
      <c r="C1448" s="38" t="s">
        <v>266</v>
      </c>
      <c r="D1448" s="38"/>
      <c r="E1448" s="39"/>
      <c r="F1448" s="39" t="s">
        <v>1778</v>
      </c>
      <c r="G1448" s="44">
        <v>0.1</v>
      </c>
      <c r="H1448" s="39"/>
      <c r="I1448" s="39" t="s">
        <v>102</v>
      </c>
      <c r="J1448" s="41">
        <v>4000</v>
      </c>
      <c r="K1448" s="42">
        <v>20.5</v>
      </c>
      <c r="L1448" s="43"/>
      <c r="M1448" s="43">
        <f>L1448*K1448</f>
        <v>0</v>
      </c>
      <c r="N1448" s="35">
        <v>4690368043182</v>
      </c>
    </row>
    <row r="1449" spans="1:14" ht="48" customHeight="1" outlineLevel="3" x14ac:dyDescent="0.2">
      <c r="A1449" s="45">
        <v>15802</v>
      </c>
      <c r="B1449" s="37" t="str">
        <f>HYPERLINK("http://sedek.ru/upload/iblock/af1/chaber_perechnyy_aromat.jpg","фото")</f>
        <v>фото</v>
      </c>
      <c r="C1449" s="38"/>
      <c r="D1449" s="38"/>
      <c r="E1449" s="39"/>
      <c r="F1449" s="39" t="s">
        <v>1779</v>
      </c>
      <c r="G1449" s="44">
        <v>0.1</v>
      </c>
      <c r="H1449" s="39" t="s">
        <v>101</v>
      </c>
      <c r="I1449" s="39" t="s">
        <v>102</v>
      </c>
      <c r="J1449" s="41">
        <v>4000</v>
      </c>
      <c r="K1449" s="42">
        <v>20.5</v>
      </c>
      <c r="L1449" s="43"/>
      <c r="M1449" s="43">
        <f>L1449*K1449</f>
        <v>0</v>
      </c>
      <c r="N1449" s="35">
        <v>4690368006095</v>
      </c>
    </row>
    <row r="1450" spans="1:14" ht="59.1" customHeight="1" outlineLevel="3" x14ac:dyDescent="0.2">
      <c r="A1450" s="45">
        <v>14817</v>
      </c>
      <c r="B1450" s="37" t="str">
        <f>HYPERLINK("http://sedek.ru/upload/iblock/3b4/shalfey_muskatnyy_vkus_gribov.jpg","фото")</f>
        <v>фото</v>
      </c>
      <c r="C1450" s="38"/>
      <c r="D1450" s="38"/>
      <c r="E1450" s="39"/>
      <c r="F1450" s="39" t="s">
        <v>1780</v>
      </c>
      <c r="G1450" s="44">
        <v>0.1</v>
      </c>
      <c r="H1450" s="39" t="s">
        <v>101</v>
      </c>
      <c r="I1450" s="39" t="s">
        <v>102</v>
      </c>
      <c r="J1450" s="41">
        <v>2500</v>
      </c>
      <c r="K1450" s="42">
        <v>20.5</v>
      </c>
      <c r="L1450" s="43"/>
      <c r="M1450" s="43">
        <f>L1450*K1450</f>
        <v>0</v>
      </c>
      <c r="N1450" s="35">
        <v>4690368004312</v>
      </c>
    </row>
    <row r="1451" spans="1:14" ht="36" customHeight="1" outlineLevel="3" x14ac:dyDescent="0.2">
      <c r="A1451" s="45">
        <v>13591</v>
      </c>
      <c r="B1451" s="37" t="str">
        <f>HYPERLINK("http://sedek.ru/upload/iblock/7dc/shalfey_lekarstvennyy_dervish.jpg","фото")</f>
        <v>фото</v>
      </c>
      <c r="C1451" s="38"/>
      <c r="D1451" s="38"/>
      <c r="E1451" s="39"/>
      <c r="F1451" s="39" t="s">
        <v>1781</v>
      </c>
      <c r="G1451" s="44">
        <v>0.1</v>
      </c>
      <c r="H1451" s="39" t="s">
        <v>101</v>
      </c>
      <c r="I1451" s="39" t="s">
        <v>102</v>
      </c>
      <c r="J1451" s="41">
        <v>2500</v>
      </c>
      <c r="K1451" s="42">
        <v>20.5</v>
      </c>
      <c r="L1451" s="43"/>
      <c r="M1451" s="43">
        <f>L1451*K1451</f>
        <v>0</v>
      </c>
      <c r="N1451" s="35">
        <v>4607015189018</v>
      </c>
    </row>
    <row r="1452" spans="1:14" ht="36" customHeight="1" outlineLevel="3" x14ac:dyDescent="0.2">
      <c r="A1452" s="45">
        <v>16052</v>
      </c>
      <c r="B1452" s="37" t="str">
        <f>HYPERLINK("http://www.sedek.ru/upload/iblock/75a/espartset_fantaziya.jpg","фото")</f>
        <v>фото</v>
      </c>
      <c r="C1452" s="38"/>
      <c r="D1452" s="38"/>
      <c r="E1452" s="39"/>
      <c r="F1452" s="39" t="s">
        <v>1782</v>
      </c>
      <c r="G1452" s="40">
        <v>2</v>
      </c>
      <c r="H1452" s="39" t="s">
        <v>101</v>
      </c>
      <c r="I1452" s="39" t="s">
        <v>102</v>
      </c>
      <c r="J1452" s="41">
        <v>1500</v>
      </c>
      <c r="K1452" s="42">
        <v>20.5</v>
      </c>
      <c r="L1452" s="43"/>
      <c r="M1452" s="43">
        <f>L1452*K1452</f>
        <v>0</v>
      </c>
      <c r="N1452" s="35">
        <v>4690368007894</v>
      </c>
    </row>
    <row r="1453" spans="1:14" ht="48" customHeight="1" outlineLevel="3" x14ac:dyDescent="0.2">
      <c r="A1453" s="46">
        <v>16489</v>
      </c>
      <c r="B1453" s="47" t="str">
        <f>HYPERLINK("http://sedek.ru/upload/iblock/eef/estragon_tarkhun_atstek.jpg","фото")</f>
        <v>фото</v>
      </c>
      <c r="C1453" s="48"/>
      <c r="D1453" s="48"/>
      <c r="E1453" s="49"/>
      <c r="F1453" s="49" t="s">
        <v>1783</v>
      </c>
      <c r="G1453" s="56">
        <v>0.1</v>
      </c>
      <c r="H1453" s="49" t="s">
        <v>101</v>
      </c>
      <c r="I1453" s="49" t="s">
        <v>102</v>
      </c>
      <c r="J1453" s="51">
        <v>4000</v>
      </c>
      <c r="K1453" s="52">
        <v>20.8</v>
      </c>
      <c r="L1453" s="53"/>
      <c r="M1453" s="53">
        <f>L1453*K1453</f>
        <v>0</v>
      </c>
      <c r="N1453" s="35">
        <v>4607015189025</v>
      </c>
    </row>
    <row r="1454" spans="1:14" ht="12" customHeight="1" outlineLevel="2" x14ac:dyDescent="0.2">
      <c r="A1454" s="22"/>
      <c r="B1454" s="23"/>
      <c r="C1454" s="23"/>
      <c r="D1454" s="23"/>
      <c r="E1454" s="24"/>
      <c r="F1454" s="24" t="s">
        <v>1784</v>
      </c>
      <c r="G1454" s="24"/>
      <c r="H1454" s="24"/>
      <c r="I1454" s="24"/>
      <c r="J1454" s="24"/>
      <c r="K1454" s="24"/>
      <c r="L1454" s="24"/>
      <c r="M1454" s="24"/>
      <c r="N1454" s="25"/>
    </row>
    <row r="1455" spans="1:14" ht="36" customHeight="1" outlineLevel="3" x14ac:dyDescent="0.2">
      <c r="A1455" s="45">
        <v>16264</v>
      </c>
      <c r="B1455" s="37" t="str">
        <f>HYPERLINK("http://www.sedek.ru/upload/iblock/eea/redis_18_dney.jpg","фото")</f>
        <v>фото</v>
      </c>
      <c r="C1455" s="38"/>
      <c r="D1455" s="38"/>
      <c r="E1455" s="39"/>
      <c r="F1455" s="39" t="s">
        <v>1785</v>
      </c>
      <c r="G1455" s="40">
        <v>3</v>
      </c>
      <c r="H1455" s="39" t="s">
        <v>101</v>
      </c>
      <c r="I1455" s="39" t="s">
        <v>102</v>
      </c>
      <c r="J1455" s="41">
        <v>1500</v>
      </c>
      <c r="K1455" s="42">
        <v>15.6</v>
      </c>
      <c r="L1455" s="43"/>
      <c r="M1455" s="43">
        <f>L1455*K1455</f>
        <v>0</v>
      </c>
      <c r="N1455" s="35">
        <v>4607015189032</v>
      </c>
    </row>
    <row r="1456" spans="1:14" ht="36" customHeight="1" outlineLevel="3" x14ac:dyDescent="0.2">
      <c r="A1456" s="45">
        <v>16981</v>
      </c>
      <c r="B1456" s="37" t="str">
        <f>HYPERLINK("http://www.sedek.ru/upload/iblock/670/redis_azhur_f1.jpg","фото")</f>
        <v>фото</v>
      </c>
      <c r="C1456" s="38"/>
      <c r="D1456" s="38"/>
      <c r="E1456" s="39" t="s">
        <v>263</v>
      </c>
      <c r="F1456" s="39" t="s">
        <v>1786</v>
      </c>
      <c r="G1456" s="40">
        <v>2</v>
      </c>
      <c r="H1456" s="39" t="s">
        <v>101</v>
      </c>
      <c r="I1456" s="39" t="s">
        <v>102</v>
      </c>
      <c r="J1456" s="41">
        <v>1500</v>
      </c>
      <c r="K1456" s="42">
        <v>20.6</v>
      </c>
      <c r="L1456" s="43"/>
      <c r="M1456" s="43">
        <f>L1456*K1456</f>
        <v>0</v>
      </c>
      <c r="N1456" s="35">
        <v>4690368025430</v>
      </c>
    </row>
    <row r="1457" spans="1:14" ht="36" customHeight="1" outlineLevel="3" x14ac:dyDescent="0.2">
      <c r="A1457" s="36" t="s">
        <v>1787</v>
      </c>
      <c r="B1457" s="37" t="str">
        <f>HYPERLINK("http://www.sedek.ru/upload/iblock/79f/redis_azhur_kruglyy.jpg","фото")</f>
        <v>фото</v>
      </c>
      <c r="C1457" s="38"/>
      <c r="D1457" s="38"/>
      <c r="E1457" s="39" t="s">
        <v>263</v>
      </c>
      <c r="F1457" s="39" t="s">
        <v>1788</v>
      </c>
      <c r="G1457" s="40">
        <v>2</v>
      </c>
      <c r="H1457" s="39" t="s">
        <v>101</v>
      </c>
      <c r="I1457" s="39" t="s">
        <v>102</v>
      </c>
      <c r="J1457" s="41">
        <v>1500</v>
      </c>
      <c r="K1457" s="42">
        <v>20.6</v>
      </c>
      <c r="L1457" s="43"/>
      <c r="M1457" s="43">
        <f>L1457*K1457</f>
        <v>0</v>
      </c>
      <c r="N1457" s="35">
        <v>4690368035132</v>
      </c>
    </row>
    <row r="1458" spans="1:14" ht="24" customHeight="1" outlineLevel="3" x14ac:dyDescent="0.2">
      <c r="A1458" s="45">
        <v>14593</v>
      </c>
      <c r="B1458" s="37" t="str">
        <f>HYPERLINK("http://www.sedek.ru/upload/iblock/562/redis_alyenka.jpg","фото")</f>
        <v>фото</v>
      </c>
      <c r="C1458" s="38"/>
      <c r="D1458" s="38" t="s">
        <v>266</v>
      </c>
      <c r="E1458" s="39"/>
      <c r="F1458" s="39" t="s">
        <v>1789</v>
      </c>
      <c r="G1458" s="40">
        <v>2</v>
      </c>
      <c r="H1458" s="39" t="s">
        <v>101</v>
      </c>
      <c r="I1458" s="39" t="s">
        <v>102</v>
      </c>
      <c r="J1458" s="41">
        <v>1500</v>
      </c>
      <c r="K1458" s="42">
        <v>20.5</v>
      </c>
      <c r="L1458" s="43"/>
      <c r="M1458" s="43">
        <f>L1458*K1458</f>
        <v>0</v>
      </c>
      <c r="N1458" s="35">
        <v>4607149403462</v>
      </c>
    </row>
    <row r="1459" spans="1:14" ht="36" customHeight="1" outlineLevel="3" x14ac:dyDescent="0.2">
      <c r="A1459" s="45">
        <v>15973</v>
      </c>
      <c r="B1459" s="37" t="str">
        <f>HYPERLINK("http://sedek.ru/upload/iblock/f7e/redis_anzhelika.jpg","фото")</f>
        <v>фото</v>
      </c>
      <c r="C1459" s="38"/>
      <c r="D1459" s="38"/>
      <c r="E1459" s="39"/>
      <c r="F1459" s="39" t="s">
        <v>1790</v>
      </c>
      <c r="G1459" s="40">
        <v>2</v>
      </c>
      <c r="H1459" s="39" t="s">
        <v>101</v>
      </c>
      <c r="I1459" s="39" t="s">
        <v>102</v>
      </c>
      <c r="J1459" s="41">
        <v>1500</v>
      </c>
      <c r="K1459" s="42">
        <v>20.5</v>
      </c>
      <c r="L1459" s="43"/>
      <c r="M1459" s="43">
        <f>L1459*K1459</f>
        <v>0</v>
      </c>
      <c r="N1459" s="35">
        <v>4607015189049</v>
      </c>
    </row>
    <row r="1460" spans="1:14" ht="36" customHeight="1" outlineLevel="3" x14ac:dyDescent="0.2">
      <c r="A1460" s="45">
        <v>15973</v>
      </c>
      <c r="B1460" s="37" t="str">
        <f>HYPERLINK("http://sedek.ru/upload/iblock/f7e/redis_anzhelika.jpg","фото")</f>
        <v>фото</v>
      </c>
      <c r="C1460" s="38"/>
      <c r="D1460" s="38"/>
      <c r="E1460" s="39"/>
      <c r="F1460" s="39" t="s">
        <v>1791</v>
      </c>
      <c r="G1460" s="40">
        <v>3</v>
      </c>
      <c r="H1460" s="39" t="s">
        <v>101</v>
      </c>
      <c r="I1460" s="39" t="s">
        <v>287</v>
      </c>
      <c r="J1460" s="41">
        <v>1500</v>
      </c>
      <c r="K1460" s="42">
        <v>6.8</v>
      </c>
      <c r="L1460" s="43"/>
      <c r="M1460" s="43">
        <f>L1460*K1460</f>
        <v>0</v>
      </c>
      <c r="N1460" s="35">
        <v>4690368004725</v>
      </c>
    </row>
    <row r="1461" spans="1:14" ht="24" customHeight="1" outlineLevel="3" x14ac:dyDescent="0.2">
      <c r="A1461" s="45">
        <v>15664</v>
      </c>
      <c r="B1461" s="37" t="str">
        <f>HYPERLINK("http://sedek.ru/upload/iblock/053/redis_assorti_rannikh_sortov.jpg","фото")</f>
        <v>фото</v>
      </c>
      <c r="C1461" s="38"/>
      <c r="D1461" s="38"/>
      <c r="E1461" s="39"/>
      <c r="F1461" s="39" t="s">
        <v>1792</v>
      </c>
      <c r="G1461" s="40">
        <v>3</v>
      </c>
      <c r="H1461" s="39" t="s">
        <v>101</v>
      </c>
      <c r="I1461" s="39" t="s">
        <v>102</v>
      </c>
      <c r="J1461" s="41">
        <v>1500</v>
      </c>
      <c r="K1461" s="42">
        <v>20.5</v>
      </c>
      <c r="L1461" s="43"/>
      <c r="M1461" s="43">
        <f>L1461*K1461</f>
        <v>0</v>
      </c>
      <c r="N1461" s="35">
        <v>4690368007900</v>
      </c>
    </row>
    <row r="1462" spans="1:14" ht="24" customHeight="1" outlineLevel="3" x14ac:dyDescent="0.2">
      <c r="A1462" s="45">
        <v>14539</v>
      </c>
      <c r="B1462" s="37" t="str">
        <f>HYPERLINK("http://sedek.ru/upload/iblock/c80/redis_baron.jpg","фото")</f>
        <v>фото</v>
      </c>
      <c r="C1462" s="38"/>
      <c r="D1462" s="38"/>
      <c r="E1462" s="39"/>
      <c r="F1462" s="39" t="s">
        <v>1793</v>
      </c>
      <c r="G1462" s="40">
        <v>2</v>
      </c>
      <c r="H1462" s="39" t="s">
        <v>101</v>
      </c>
      <c r="I1462" s="39" t="s">
        <v>102</v>
      </c>
      <c r="J1462" s="41">
        <v>1500</v>
      </c>
      <c r="K1462" s="42">
        <v>20.5</v>
      </c>
      <c r="L1462" s="43"/>
      <c r="M1462" s="43">
        <f>L1462*K1462</f>
        <v>0</v>
      </c>
      <c r="N1462" s="35">
        <v>4607015189063</v>
      </c>
    </row>
    <row r="1463" spans="1:14" ht="36" customHeight="1" outlineLevel="3" x14ac:dyDescent="0.2">
      <c r="A1463" s="45">
        <v>14583</v>
      </c>
      <c r="B1463" s="37" t="str">
        <f>HYPERLINK("http://sedek.ru/upload/iblock/ca3/redis_vnuchkina_radost.jpg","фото")</f>
        <v>фото</v>
      </c>
      <c r="C1463" s="38"/>
      <c r="D1463" s="38"/>
      <c r="E1463" s="39"/>
      <c r="F1463" s="39" t="s">
        <v>1794</v>
      </c>
      <c r="G1463" s="40">
        <v>2</v>
      </c>
      <c r="H1463" s="39" t="s">
        <v>101</v>
      </c>
      <c r="I1463" s="39" t="s">
        <v>102</v>
      </c>
      <c r="J1463" s="41">
        <v>1500</v>
      </c>
      <c r="K1463" s="42">
        <v>20.5</v>
      </c>
      <c r="L1463" s="43"/>
      <c r="M1463" s="43">
        <f>L1463*K1463</f>
        <v>0</v>
      </c>
      <c r="N1463" s="35">
        <v>4607149403486</v>
      </c>
    </row>
    <row r="1464" spans="1:14" ht="36" customHeight="1" outlineLevel="3" x14ac:dyDescent="0.2">
      <c r="A1464" s="46">
        <v>15728</v>
      </c>
      <c r="B1464" s="47" t="str">
        <f>HYPERLINK("http://sedek.ru/upload/iblock/1eb/redis_damskie_palchiki.jpg","фото")</f>
        <v>фото</v>
      </c>
      <c r="C1464" s="48"/>
      <c r="D1464" s="48"/>
      <c r="E1464" s="49"/>
      <c r="F1464" s="49" t="s">
        <v>1795</v>
      </c>
      <c r="G1464" s="50">
        <v>2</v>
      </c>
      <c r="H1464" s="49" t="s">
        <v>101</v>
      </c>
      <c r="I1464" s="49" t="s">
        <v>102</v>
      </c>
      <c r="J1464" s="51">
        <v>1500</v>
      </c>
      <c r="K1464" s="52">
        <v>19.5</v>
      </c>
      <c r="L1464" s="53"/>
      <c r="M1464" s="53">
        <f>L1464*K1464</f>
        <v>0</v>
      </c>
      <c r="N1464" s="35">
        <v>4690368005913</v>
      </c>
    </row>
    <row r="1465" spans="1:14" ht="36" customHeight="1" outlineLevel="3" x14ac:dyDescent="0.2">
      <c r="A1465" s="46">
        <v>13721</v>
      </c>
      <c r="B1465" s="47" t="str">
        <f>HYPERLINK("http://sedek.ru/upload/iblock/27a/redis_damskiy_kapriz.jpg","фото")</f>
        <v>фото</v>
      </c>
      <c r="C1465" s="48"/>
      <c r="D1465" s="48"/>
      <c r="E1465" s="49"/>
      <c r="F1465" s="49" t="s">
        <v>1796</v>
      </c>
      <c r="G1465" s="50">
        <v>2</v>
      </c>
      <c r="H1465" s="49" t="s">
        <v>101</v>
      </c>
      <c r="I1465" s="49" t="s">
        <v>102</v>
      </c>
      <c r="J1465" s="51">
        <v>1500</v>
      </c>
      <c r="K1465" s="52">
        <v>19.8</v>
      </c>
      <c r="L1465" s="53"/>
      <c r="M1465" s="53">
        <f>L1465*K1465</f>
        <v>0</v>
      </c>
      <c r="N1465" s="35">
        <v>4690368005906</v>
      </c>
    </row>
    <row r="1466" spans="1:14" ht="36" customHeight="1" outlineLevel="3" x14ac:dyDescent="0.2">
      <c r="A1466" s="45">
        <v>14452</v>
      </c>
      <c r="B1466" s="37" t="str">
        <f>HYPERLINK("http://www.sedek.ru/upload/iblock/9ab/redis_zhara.jpg","фото")</f>
        <v>фото</v>
      </c>
      <c r="C1466" s="38"/>
      <c r="D1466" s="38"/>
      <c r="E1466" s="39"/>
      <c r="F1466" s="39" t="s">
        <v>1797</v>
      </c>
      <c r="G1466" s="40">
        <v>3</v>
      </c>
      <c r="H1466" s="39" t="s">
        <v>101</v>
      </c>
      <c r="I1466" s="39" t="s">
        <v>102</v>
      </c>
      <c r="J1466" s="41">
        <v>1500</v>
      </c>
      <c r="K1466" s="42">
        <v>15.6</v>
      </c>
      <c r="L1466" s="43"/>
      <c r="M1466" s="43">
        <f>L1466*K1466</f>
        <v>0</v>
      </c>
      <c r="N1466" s="35">
        <v>4607149400928</v>
      </c>
    </row>
    <row r="1467" spans="1:14" ht="36" customHeight="1" outlineLevel="3" x14ac:dyDescent="0.2">
      <c r="A1467" s="45">
        <v>14452</v>
      </c>
      <c r="B1467" s="37" t="str">
        <f>HYPERLINK("http://www.sedek.ru/upload/iblock/9ab/redis_zhara.jpg","фото")</f>
        <v>фото</v>
      </c>
      <c r="C1467" s="38"/>
      <c r="D1467" s="38"/>
      <c r="E1467" s="39"/>
      <c r="F1467" s="39" t="s">
        <v>1798</v>
      </c>
      <c r="G1467" s="40">
        <v>3</v>
      </c>
      <c r="H1467" s="39" t="s">
        <v>101</v>
      </c>
      <c r="I1467" s="39" t="s">
        <v>287</v>
      </c>
      <c r="J1467" s="41">
        <v>1500</v>
      </c>
      <c r="K1467" s="42">
        <v>6.5</v>
      </c>
      <c r="L1467" s="43"/>
      <c r="M1467" s="43">
        <f>L1467*K1467</f>
        <v>0</v>
      </c>
      <c r="N1467" s="33" t="s">
        <v>1799</v>
      </c>
    </row>
    <row r="1468" spans="1:14" ht="36" customHeight="1" outlineLevel="3" x14ac:dyDescent="0.2">
      <c r="A1468" s="45">
        <v>14152</v>
      </c>
      <c r="B1468" s="37" t="str">
        <f>HYPERLINK("http://www.sedek.ru/upload/iblock/893/redis_zarya.jpg","фото")</f>
        <v>фото</v>
      </c>
      <c r="C1468" s="38"/>
      <c r="D1468" s="38"/>
      <c r="E1468" s="39"/>
      <c r="F1468" s="39" t="s">
        <v>1800</v>
      </c>
      <c r="G1468" s="40">
        <v>3</v>
      </c>
      <c r="H1468" s="39" t="s">
        <v>101</v>
      </c>
      <c r="I1468" s="39" t="s">
        <v>102</v>
      </c>
      <c r="J1468" s="41">
        <v>1500</v>
      </c>
      <c r="K1468" s="42">
        <v>15.6</v>
      </c>
      <c r="L1468" s="43"/>
      <c r="M1468" s="43">
        <f>L1468*K1468</f>
        <v>0</v>
      </c>
      <c r="N1468" s="35">
        <v>4607149400973</v>
      </c>
    </row>
    <row r="1469" spans="1:14" ht="24" customHeight="1" outlineLevel="3" x14ac:dyDescent="0.2">
      <c r="A1469" s="45">
        <v>14152</v>
      </c>
      <c r="B1469" s="37" t="str">
        <f>HYPERLINK("http://www.sedek.ru/upload/iblock/893/redis_zarya.jpg","фото")</f>
        <v>фото</v>
      </c>
      <c r="C1469" s="38"/>
      <c r="D1469" s="38"/>
      <c r="E1469" s="39"/>
      <c r="F1469" s="39" t="s">
        <v>1801</v>
      </c>
      <c r="G1469" s="40">
        <v>3</v>
      </c>
      <c r="H1469" s="39" t="s">
        <v>101</v>
      </c>
      <c r="I1469" s="39" t="s">
        <v>287</v>
      </c>
      <c r="J1469" s="41">
        <v>1500</v>
      </c>
      <c r="K1469" s="42">
        <v>7.3</v>
      </c>
      <c r="L1469" s="43"/>
      <c r="M1469" s="43">
        <f>L1469*K1469</f>
        <v>0</v>
      </c>
      <c r="N1469" s="35">
        <v>4607149405732</v>
      </c>
    </row>
    <row r="1470" spans="1:14" ht="24" customHeight="1" outlineLevel="3" x14ac:dyDescent="0.2">
      <c r="A1470" s="45">
        <v>14722</v>
      </c>
      <c r="B1470" s="37" t="str">
        <f>HYPERLINK("http://sedek.ru/upload/iblock/bc0/redis_zlata.jpg","фото")</f>
        <v>фото</v>
      </c>
      <c r="C1470" s="38"/>
      <c r="D1470" s="38" t="s">
        <v>266</v>
      </c>
      <c r="E1470" s="39"/>
      <c r="F1470" s="39" t="s">
        <v>1802</v>
      </c>
      <c r="G1470" s="40">
        <v>2</v>
      </c>
      <c r="H1470" s="39" t="s">
        <v>101</v>
      </c>
      <c r="I1470" s="39" t="s">
        <v>102</v>
      </c>
      <c r="J1470" s="41">
        <v>1500</v>
      </c>
      <c r="K1470" s="42">
        <v>21.4</v>
      </c>
      <c r="L1470" s="43"/>
      <c r="M1470" s="43">
        <f>L1470*K1470</f>
        <v>0</v>
      </c>
      <c r="N1470" s="35">
        <v>4607015189070</v>
      </c>
    </row>
    <row r="1471" spans="1:14" ht="24" customHeight="1" outlineLevel="3" x14ac:dyDescent="0.2">
      <c r="A1471" s="45">
        <v>14722</v>
      </c>
      <c r="B1471" s="37" t="str">
        <f>HYPERLINK("http://sedek.ru/upload/iblock/bc0/redis_zlata.jpg","фото")</f>
        <v>фото</v>
      </c>
      <c r="C1471" s="38"/>
      <c r="D1471" s="38" t="s">
        <v>266</v>
      </c>
      <c r="E1471" s="39"/>
      <c r="F1471" s="39" t="s">
        <v>1803</v>
      </c>
      <c r="G1471" s="40">
        <v>2</v>
      </c>
      <c r="H1471" s="39" t="s">
        <v>101</v>
      </c>
      <c r="I1471" s="39" t="s">
        <v>287</v>
      </c>
      <c r="J1471" s="41">
        <v>1500</v>
      </c>
      <c r="K1471" s="42">
        <v>8.9</v>
      </c>
      <c r="L1471" s="43"/>
      <c r="M1471" s="43">
        <f>L1471*K1471</f>
        <v>0</v>
      </c>
      <c r="N1471" s="35">
        <v>4690368011471</v>
      </c>
    </row>
    <row r="1472" spans="1:14" ht="36" customHeight="1" outlineLevel="3" x14ac:dyDescent="0.2">
      <c r="A1472" s="45">
        <v>15423</v>
      </c>
      <c r="B1472" s="37" t="str">
        <f>HYPERLINK("http://sedek.ru/upload/iblock/6c7/redis_karmen.jpg","фото")</f>
        <v>фото</v>
      </c>
      <c r="C1472" s="38"/>
      <c r="D1472" s="38"/>
      <c r="E1472" s="39"/>
      <c r="F1472" s="39" t="s">
        <v>1804</v>
      </c>
      <c r="G1472" s="40">
        <v>3</v>
      </c>
      <c r="H1472" s="39" t="s">
        <v>101</v>
      </c>
      <c r="I1472" s="39" t="s">
        <v>102</v>
      </c>
      <c r="J1472" s="41">
        <v>1500</v>
      </c>
      <c r="K1472" s="42">
        <v>27.5</v>
      </c>
      <c r="L1472" s="43"/>
      <c r="M1472" s="43">
        <f>L1472*K1472</f>
        <v>0</v>
      </c>
      <c r="N1472" s="35">
        <v>4607015189087</v>
      </c>
    </row>
    <row r="1473" spans="1:14" ht="36" customHeight="1" outlineLevel="3" x14ac:dyDescent="0.2">
      <c r="A1473" s="45">
        <v>15969</v>
      </c>
      <c r="B1473" s="37" t="str">
        <f>HYPERLINK("http://www.sedek.ru/upload/iblock/94e/redis_koroleva_rynka.jpg","фото")</f>
        <v>фото</v>
      </c>
      <c r="C1473" s="38"/>
      <c r="D1473" s="38"/>
      <c r="E1473" s="39"/>
      <c r="F1473" s="39" t="s">
        <v>1805</v>
      </c>
      <c r="G1473" s="40">
        <v>2</v>
      </c>
      <c r="H1473" s="39" t="s">
        <v>101</v>
      </c>
      <c r="I1473" s="39" t="s">
        <v>102</v>
      </c>
      <c r="J1473" s="41">
        <v>1500</v>
      </c>
      <c r="K1473" s="42">
        <v>19.100000000000001</v>
      </c>
      <c r="L1473" s="43"/>
      <c r="M1473" s="43">
        <f>L1473*K1473</f>
        <v>0</v>
      </c>
      <c r="N1473" s="35">
        <v>4607015189094</v>
      </c>
    </row>
    <row r="1474" spans="1:14" ht="36" customHeight="1" outlineLevel="3" x14ac:dyDescent="0.2">
      <c r="A1474" s="45">
        <v>15969</v>
      </c>
      <c r="B1474" s="37" t="str">
        <f>HYPERLINK("http://www.sedek.ru/upload/iblock/94e/redis_koroleva_rynka.jpg","фото")</f>
        <v>фото</v>
      </c>
      <c r="C1474" s="38"/>
      <c r="D1474" s="38"/>
      <c r="E1474" s="39"/>
      <c r="F1474" s="39" t="s">
        <v>1806</v>
      </c>
      <c r="G1474" s="40">
        <v>2</v>
      </c>
      <c r="H1474" s="39" t="s">
        <v>101</v>
      </c>
      <c r="I1474" s="39" t="s">
        <v>287</v>
      </c>
      <c r="J1474" s="41">
        <v>1500</v>
      </c>
      <c r="K1474" s="42">
        <v>10.3</v>
      </c>
      <c r="L1474" s="43"/>
      <c r="M1474" s="43">
        <f>L1474*K1474</f>
        <v>0</v>
      </c>
      <c r="N1474" s="35">
        <v>4690368005227</v>
      </c>
    </row>
    <row r="1475" spans="1:14" ht="36" customHeight="1" outlineLevel="3" x14ac:dyDescent="0.2">
      <c r="A1475" s="45">
        <v>14415</v>
      </c>
      <c r="B1475" s="37" t="str">
        <f>HYPERLINK("http://sedek.ru/upload/iblock/a9a/redis_krasa.JPG","фото")</f>
        <v>фото</v>
      </c>
      <c r="C1475" s="38"/>
      <c r="D1475" s="38"/>
      <c r="E1475" s="39"/>
      <c r="F1475" s="39" t="s">
        <v>1807</v>
      </c>
      <c r="G1475" s="40">
        <v>2</v>
      </c>
      <c r="H1475" s="39" t="s">
        <v>101</v>
      </c>
      <c r="I1475" s="39" t="s">
        <v>102</v>
      </c>
      <c r="J1475" s="41">
        <v>1500</v>
      </c>
      <c r="K1475" s="42">
        <v>20</v>
      </c>
      <c r="L1475" s="43"/>
      <c r="M1475" s="43">
        <f>L1475*K1475</f>
        <v>0</v>
      </c>
      <c r="N1475" s="35">
        <v>4607015189100</v>
      </c>
    </row>
    <row r="1476" spans="1:14" ht="36" customHeight="1" outlineLevel="3" x14ac:dyDescent="0.2">
      <c r="A1476" s="45">
        <v>14380</v>
      </c>
      <c r="B1476" s="37" t="str">
        <f>HYPERLINK("http://www.sedek.ru/upload/iblock/a67//redis_krasnyy_velikan_dlinnyy.jpg","фото")</f>
        <v>фото</v>
      </c>
      <c r="C1476" s="38"/>
      <c r="D1476" s="38"/>
      <c r="E1476" s="39"/>
      <c r="F1476" s="39" t="s">
        <v>1808</v>
      </c>
      <c r="G1476" s="40">
        <v>3</v>
      </c>
      <c r="H1476" s="39" t="s">
        <v>101</v>
      </c>
      <c r="I1476" s="39" t="s">
        <v>102</v>
      </c>
      <c r="J1476" s="41">
        <v>1500</v>
      </c>
      <c r="K1476" s="42">
        <v>16.899999999999999</v>
      </c>
      <c r="L1476" s="43"/>
      <c r="M1476" s="43">
        <f>L1476*K1476</f>
        <v>0</v>
      </c>
      <c r="N1476" s="35">
        <v>4690368011020</v>
      </c>
    </row>
    <row r="1477" spans="1:14" ht="36" customHeight="1" outlineLevel="3" x14ac:dyDescent="0.2">
      <c r="A1477" s="45">
        <v>14380</v>
      </c>
      <c r="B1477" s="37" t="str">
        <f>HYPERLINK("http://www.sedek.ru/upload/iblock/a67//redis_krasnyy_velikan_dlinnyy.jpg","фото")</f>
        <v>фото</v>
      </c>
      <c r="C1477" s="38"/>
      <c r="D1477" s="38"/>
      <c r="E1477" s="39"/>
      <c r="F1477" s="39" t="s">
        <v>1809</v>
      </c>
      <c r="G1477" s="40">
        <v>2</v>
      </c>
      <c r="H1477" s="39" t="s">
        <v>101</v>
      </c>
      <c r="I1477" s="39" t="s">
        <v>287</v>
      </c>
      <c r="J1477" s="41">
        <v>1500</v>
      </c>
      <c r="K1477" s="42">
        <v>6.5</v>
      </c>
      <c r="L1477" s="43"/>
      <c r="M1477" s="43">
        <f>L1477*K1477</f>
        <v>0</v>
      </c>
      <c r="N1477" s="35">
        <v>4690368011495</v>
      </c>
    </row>
    <row r="1478" spans="1:14" ht="36" customHeight="1" outlineLevel="3" x14ac:dyDescent="0.2">
      <c r="A1478" s="45">
        <v>15821</v>
      </c>
      <c r="B1478" s="37" t="str">
        <f>HYPERLINK("http://www.sedek.ru/upload/iblock/f7a/redis_krasnyy_velikan_kruglyy.jpg","фото")</f>
        <v>фото</v>
      </c>
      <c r="C1478" s="38"/>
      <c r="D1478" s="38"/>
      <c r="E1478" s="39"/>
      <c r="F1478" s="39" t="s">
        <v>1810</v>
      </c>
      <c r="G1478" s="40">
        <v>3</v>
      </c>
      <c r="H1478" s="39" t="s">
        <v>101</v>
      </c>
      <c r="I1478" s="39" t="s">
        <v>102</v>
      </c>
      <c r="J1478" s="41">
        <v>1500</v>
      </c>
      <c r="K1478" s="42">
        <v>18.8</v>
      </c>
      <c r="L1478" s="43"/>
      <c r="M1478" s="43">
        <f>L1478*K1478</f>
        <v>0</v>
      </c>
      <c r="N1478" s="35">
        <v>4607015189124</v>
      </c>
    </row>
    <row r="1479" spans="1:14" ht="24" customHeight="1" outlineLevel="3" x14ac:dyDescent="0.2">
      <c r="A1479" s="45">
        <v>13522</v>
      </c>
      <c r="B1479" s="37" t="str">
        <f>HYPERLINK("http://www.sedek.ru/upload/iblock/d53/redis_krasnyy_s_belym_konchikom.jpg","фото")</f>
        <v>фото</v>
      </c>
      <c r="C1479" s="38"/>
      <c r="D1479" s="38"/>
      <c r="E1479" s="39"/>
      <c r="F1479" s="39" t="s">
        <v>1811</v>
      </c>
      <c r="G1479" s="40">
        <v>3</v>
      </c>
      <c r="H1479" s="39" t="s">
        <v>101</v>
      </c>
      <c r="I1479" s="39" t="s">
        <v>102</v>
      </c>
      <c r="J1479" s="41">
        <v>1500</v>
      </c>
      <c r="K1479" s="42">
        <v>16.899999999999999</v>
      </c>
      <c r="L1479" s="43"/>
      <c r="M1479" s="43">
        <f>L1479*K1479</f>
        <v>0</v>
      </c>
      <c r="N1479" s="35">
        <v>4607015189148</v>
      </c>
    </row>
    <row r="1480" spans="1:14" ht="24" customHeight="1" outlineLevel="3" x14ac:dyDescent="0.2">
      <c r="A1480" s="45">
        <v>13522</v>
      </c>
      <c r="B1480" s="37" t="str">
        <f>HYPERLINK("http://www.sedek.ru/upload/iblock/d53/redis_krasnyy_s_belym_konchikom.jpg","фото")</f>
        <v>фото</v>
      </c>
      <c r="C1480" s="38"/>
      <c r="D1480" s="38"/>
      <c r="E1480" s="39"/>
      <c r="F1480" s="39" t="s">
        <v>1812</v>
      </c>
      <c r="G1480" s="40">
        <v>3</v>
      </c>
      <c r="H1480" s="39" t="s">
        <v>101</v>
      </c>
      <c r="I1480" s="39" t="s">
        <v>287</v>
      </c>
      <c r="J1480" s="41">
        <v>1500</v>
      </c>
      <c r="K1480" s="42">
        <v>8.5</v>
      </c>
      <c r="L1480" s="43"/>
      <c r="M1480" s="43">
        <f>L1480*K1480</f>
        <v>0</v>
      </c>
      <c r="N1480" s="35">
        <v>4690368004732</v>
      </c>
    </row>
    <row r="1481" spans="1:14" ht="24" customHeight="1" outlineLevel="3" x14ac:dyDescent="0.2">
      <c r="A1481" s="45">
        <v>16982</v>
      </c>
      <c r="B1481" s="37" t="str">
        <f>HYPERLINK("http://www.sedek.ru/upload/iblock/58e/redis_mazhor_f1.jpg","фото")</f>
        <v>фото</v>
      </c>
      <c r="C1481" s="38"/>
      <c r="D1481" s="38"/>
      <c r="E1481" s="39"/>
      <c r="F1481" s="39" t="s">
        <v>1813</v>
      </c>
      <c r="G1481" s="40">
        <v>2</v>
      </c>
      <c r="H1481" s="39" t="s">
        <v>101</v>
      </c>
      <c r="I1481" s="39" t="s">
        <v>102</v>
      </c>
      <c r="J1481" s="41">
        <v>1500</v>
      </c>
      <c r="K1481" s="42">
        <v>20.5</v>
      </c>
      <c r="L1481" s="43"/>
      <c r="M1481" s="43">
        <f>L1481*K1481</f>
        <v>0</v>
      </c>
      <c r="N1481" s="35">
        <v>4690368025423</v>
      </c>
    </row>
    <row r="1482" spans="1:14" ht="24" customHeight="1" outlineLevel="3" x14ac:dyDescent="0.2">
      <c r="A1482" s="45">
        <v>16362</v>
      </c>
      <c r="B1482" s="37" t="str">
        <f>HYPERLINK("http://sedek.ru/upload/iblock/607/redis_mokhovskiy.jpg","фото")</f>
        <v>фото</v>
      </c>
      <c r="C1482" s="38"/>
      <c r="D1482" s="38"/>
      <c r="E1482" s="39"/>
      <c r="F1482" s="39" t="s">
        <v>1814</v>
      </c>
      <c r="G1482" s="40">
        <v>3</v>
      </c>
      <c r="H1482" s="39" t="s">
        <v>101</v>
      </c>
      <c r="I1482" s="39" t="s">
        <v>102</v>
      </c>
      <c r="J1482" s="41">
        <v>1500</v>
      </c>
      <c r="K1482" s="42">
        <v>20.5</v>
      </c>
      <c r="L1482" s="43"/>
      <c r="M1482" s="43">
        <f>L1482*K1482</f>
        <v>0</v>
      </c>
      <c r="N1482" s="35">
        <v>4607149400935</v>
      </c>
    </row>
    <row r="1483" spans="1:14" ht="24" customHeight="1" outlineLevel="3" x14ac:dyDescent="0.2">
      <c r="A1483" s="45">
        <v>15591</v>
      </c>
      <c r="B1483" s="37" t="str">
        <f>HYPERLINK("http://www.sedek.ru/upload/iblock/cce/redis_mulatka.jpg","фото")</f>
        <v>фото</v>
      </c>
      <c r="C1483" s="38"/>
      <c r="D1483" s="38"/>
      <c r="E1483" s="39"/>
      <c r="F1483" s="39" t="s">
        <v>1815</v>
      </c>
      <c r="G1483" s="40">
        <v>2</v>
      </c>
      <c r="H1483" s="39" t="s">
        <v>101</v>
      </c>
      <c r="I1483" s="39" t="s">
        <v>102</v>
      </c>
      <c r="J1483" s="41">
        <v>1500</v>
      </c>
      <c r="K1483" s="42">
        <v>21.4</v>
      </c>
      <c r="L1483" s="43"/>
      <c r="M1483" s="43">
        <f>L1483*K1483</f>
        <v>0</v>
      </c>
      <c r="N1483" s="35">
        <v>4607015189186</v>
      </c>
    </row>
    <row r="1484" spans="1:14" ht="36" customHeight="1" outlineLevel="3" x14ac:dyDescent="0.2">
      <c r="A1484" s="45">
        <v>14850</v>
      </c>
      <c r="B1484" s="37" t="str">
        <f>HYPERLINK("http://www.sedek.ru/upload/iblock/c28/redis_nota.jpg","фото")</f>
        <v>фото</v>
      </c>
      <c r="C1484" s="38"/>
      <c r="D1484" s="38"/>
      <c r="E1484" s="39"/>
      <c r="F1484" s="39" t="s">
        <v>1816</v>
      </c>
      <c r="G1484" s="40">
        <v>2</v>
      </c>
      <c r="H1484" s="39" t="s">
        <v>101</v>
      </c>
      <c r="I1484" s="39" t="s">
        <v>102</v>
      </c>
      <c r="J1484" s="41">
        <v>1500</v>
      </c>
      <c r="K1484" s="42">
        <v>20.5</v>
      </c>
      <c r="L1484" s="43"/>
      <c r="M1484" s="43">
        <f>L1484*K1484</f>
        <v>0</v>
      </c>
      <c r="N1484" s="35">
        <v>4607015189193</v>
      </c>
    </row>
    <row r="1485" spans="1:14" ht="36" customHeight="1" outlineLevel="3" x14ac:dyDescent="0.2">
      <c r="A1485" s="36" t="s">
        <v>1817</v>
      </c>
      <c r="B1485" s="37" t="str">
        <f>HYPERLINK("http://www.sedek.ru/upload/iblock/b56/redis_politez.jpg","Фото")</f>
        <v>Фото</v>
      </c>
      <c r="C1485" s="38"/>
      <c r="D1485" s="38"/>
      <c r="E1485" s="39"/>
      <c r="F1485" s="39" t="s">
        <v>1818</v>
      </c>
      <c r="G1485" s="40">
        <v>2</v>
      </c>
      <c r="H1485" s="39" t="s">
        <v>101</v>
      </c>
      <c r="I1485" s="39" t="s">
        <v>102</v>
      </c>
      <c r="J1485" s="41">
        <v>1500</v>
      </c>
      <c r="K1485" s="42">
        <v>20.5</v>
      </c>
      <c r="L1485" s="43"/>
      <c r="M1485" s="43">
        <f>L1485*K1485</f>
        <v>0</v>
      </c>
      <c r="N1485" s="35">
        <v>4690368030465</v>
      </c>
    </row>
    <row r="1486" spans="1:14" ht="24" customHeight="1" outlineLevel="3" x14ac:dyDescent="0.2">
      <c r="A1486" s="45">
        <v>13528</v>
      </c>
      <c r="B1486" s="37" t="str">
        <f>HYPERLINK("http://sedek.ru/upload/iblock/642/redis_premer.jpg","фото")</f>
        <v>фото</v>
      </c>
      <c r="C1486" s="38"/>
      <c r="D1486" s="38"/>
      <c r="E1486" s="39"/>
      <c r="F1486" s="39" t="s">
        <v>1819</v>
      </c>
      <c r="G1486" s="40">
        <v>2</v>
      </c>
      <c r="H1486" s="39" t="s">
        <v>101</v>
      </c>
      <c r="I1486" s="39" t="s">
        <v>102</v>
      </c>
      <c r="J1486" s="41">
        <v>1500</v>
      </c>
      <c r="K1486" s="42">
        <v>20.5</v>
      </c>
      <c r="L1486" s="43"/>
      <c r="M1486" s="43">
        <f>L1486*K1486</f>
        <v>0</v>
      </c>
      <c r="N1486" s="35">
        <v>4607015189209</v>
      </c>
    </row>
    <row r="1487" spans="1:14" ht="24" customHeight="1" outlineLevel="3" x14ac:dyDescent="0.2">
      <c r="A1487" s="45">
        <v>13528</v>
      </c>
      <c r="B1487" s="37" t="str">
        <f>HYPERLINK("http://sedek.ru/upload/iblock/642/redis_premer.jpg","фото")</f>
        <v>фото</v>
      </c>
      <c r="C1487" s="38"/>
      <c r="D1487" s="38"/>
      <c r="E1487" s="39"/>
      <c r="F1487" s="39" t="s">
        <v>1820</v>
      </c>
      <c r="G1487" s="40">
        <v>2</v>
      </c>
      <c r="H1487" s="39" t="s">
        <v>101</v>
      </c>
      <c r="I1487" s="39" t="s">
        <v>287</v>
      </c>
      <c r="J1487" s="41">
        <v>1500</v>
      </c>
      <c r="K1487" s="42">
        <v>8.8000000000000007</v>
      </c>
      <c r="L1487" s="43"/>
      <c r="M1487" s="43">
        <f>L1487*K1487</f>
        <v>0</v>
      </c>
      <c r="N1487" s="35">
        <v>4690368006408</v>
      </c>
    </row>
    <row r="1488" spans="1:14" ht="36" customHeight="1" outlineLevel="3" x14ac:dyDescent="0.2">
      <c r="A1488" s="45">
        <v>16153</v>
      </c>
      <c r="B1488" s="37" t="str">
        <f>HYPERLINK("http://sedek.ru/upload/iblock/387/redis_prints_datskiy.JPG","фото")</f>
        <v>фото</v>
      </c>
      <c r="C1488" s="38"/>
      <c r="D1488" s="38"/>
      <c r="E1488" s="39"/>
      <c r="F1488" s="39" t="s">
        <v>1821</v>
      </c>
      <c r="G1488" s="40">
        <v>2</v>
      </c>
      <c r="H1488" s="39"/>
      <c r="I1488" s="39" t="s">
        <v>102</v>
      </c>
      <c r="J1488" s="41">
        <v>1500</v>
      </c>
      <c r="K1488" s="42">
        <v>20.5</v>
      </c>
      <c r="L1488" s="43"/>
      <c r="M1488" s="43">
        <f>L1488*K1488</f>
        <v>0</v>
      </c>
      <c r="N1488" s="35">
        <v>4607015189216</v>
      </c>
    </row>
    <row r="1489" spans="1:14" ht="36" customHeight="1" outlineLevel="3" x14ac:dyDescent="0.2">
      <c r="A1489" s="45">
        <v>16153</v>
      </c>
      <c r="B1489" s="37" t="str">
        <f>HYPERLINK("http://sedek.ru/upload/iblock/387/redis_prints_datskiy.JPG","фото")</f>
        <v>фото</v>
      </c>
      <c r="C1489" s="38"/>
      <c r="D1489" s="38"/>
      <c r="E1489" s="39"/>
      <c r="F1489" s="39" t="s">
        <v>1822</v>
      </c>
      <c r="G1489" s="40">
        <v>2</v>
      </c>
      <c r="H1489" s="39" t="s">
        <v>101</v>
      </c>
      <c r="I1489" s="39" t="s">
        <v>287</v>
      </c>
      <c r="J1489" s="41">
        <v>1500</v>
      </c>
      <c r="K1489" s="42">
        <v>6.8</v>
      </c>
      <c r="L1489" s="43"/>
      <c r="M1489" s="43">
        <f>L1489*K1489</f>
        <v>0</v>
      </c>
      <c r="N1489" s="35">
        <v>4607149407439</v>
      </c>
    </row>
    <row r="1490" spans="1:14" ht="36" customHeight="1" outlineLevel="3" x14ac:dyDescent="0.2">
      <c r="A1490" s="45">
        <v>13525</v>
      </c>
      <c r="B1490" s="37" t="str">
        <f>HYPERLINK("http://www.sedek.ru/upload/iblock/148/redis_ranniy_krasnyy.jpg","фото")</f>
        <v>фото</v>
      </c>
      <c r="C1490" s="38"/>
      <c r="D1490" s="38"/>
      <c r="E1490" s="39"/>
      <c r="F1490" s="39" t="s">
        <v>1823</v>
      </c>
      <c r="G1490" s="40">
        <v>3</v>
      </c>
      <c r="H1490" s="39" t="s">
        <v>101</v>
      </c>
      <c r="I1490" s="39" t="s">
        <v>102</v>
      </c>
      <c r="J1490" s="41">
        <v>1500</v>
      </c>
      <c r="K1490" s="42">
        <v>15.6</v>
      </c>
      <c r="L1490" s="43"/>
      <c r="M1490" s="43">
        <f>L1490*K1490</f>
        <v>0</v>
      </c>
      <c r="N1490" s="35">
        <v>4607149406999</v>
      </c>
    </row>
    <row r="1491" spans="1:14" ht="36" customHeight="1" outlineLevel="3" x14ac:dyDescent="0.2">
      <c r="A1491" s="45">
        <v>14616</v>
      </c>
      <c r="B1491" s="37" t="str">
        <f>HYPERLINK("http://www.sedek.ru/upload/iblock/6c6/redis_rozovo_krasnyy_s_belym_konchikom.jpg","фото")</f>
        <v>фото</v>
      </c>
      <c r="C1491" s="38"/>
      <c r="D1491" s="38"/>
      <c r="E1491" s="39"/>
      <c r="F1491" s="39" t="s">
        <v>1824</v>
      </c>
      <c r="G1491" s="40">
        <v>3</v>
      </c>
      <c r="H1491" s="39" t="s">
        <v>101</v>
      </c>
      <c r="I1491" s="39" t="s">
        <v>102</v>
      </c>
      <c r="J1491" s="41">
        <v>1500</v>
      </c>
      <c r="K1491" s="42">
        <v>19.3</v>
      </c>
      <c r="L1491" s="43"/>
      <c r="M1491" s="43">
        <f>L1491*K1491</f>
        <v>0</v>
      </c>
      <c r="N1491" s="35">
        <v>4607149406159</v>
      </c>
    </row>
    <row r="1492" spans="1:14" ht="24" customHeight="1" outlineLevel="3" x14ac:dyDescent="0.2">
      <c r="A1492" s="45">
        <v>15204</v>
      </c>
      <c r="B1492" s="37" t="str">
        <f>HYPERLINK("http://sedek.ru/upload/iblock/cc6/redis_rozovyy_s_belym_konchikom.jpg","фото")</f>
        <v>фото</v>
      </c>
      <c r="C1492" s="38"/>
      <c r="D1492" s="38"/>
      <c r="E1492" s="39"/>
      <c r="F1492" s="39" t="s">
        <v>1825</v>
      </c>
      <c r="G1492" s="40">
        <v>3</v>
      </c>
      <c r="H1492" s="39" t="s">
        <v>101</v>
      </c>
      <c r="I1492" s="39" t="s">
        <v>102</v>
      </c>
      <c r="J1492" s="41">
        <v>1500</v>
      </c>
      <c r="K1492" s="42">
        <v>20.5</v>
      </c>
      <c r="L1492" s="43"/>
      <c r="M1492" s="43">
        <f>L1492*K1492</f>
        <v>0</v>
      </c>
      <c r="N1492" s="35">
        <v>4607149400942</v>
      </c>
    </row>
    <row r="1493" spans="1:14" ht="36" customHeight="1" outlineLevel="3" x14ac:dyDescent="0.2">
      <c r="A1493" s="45">
        <v>15849</v>
      </c>
      <c r="B1493" s="37" t="str">
        <f>HYPERLINK("http://www.sedek.ru/upload/iblock/39e/redis_rubin.jpg","фото")</f>
        <v>фото</v>
      </c>
      <c r="C1493" s="38"/>
      <c r="D1493" s="38"/>
      <c r="E1493" s="39"/>
      <c r="F1493" s="39" t="s">
        <v>1826</v>
      </c>
      <c r="G1493" s="40">
        <v>3</v>
      </c>
      <c r="H1493" s="39" t="s">
        <v>101</v>
      </c>
      <c r="I1493" s="39" t="s">
        <v>102</v>
      </c>
      <c r="J1493" s="41">
        <v>1500</v>
      </c>
      <c r="K1493" s="42">
        <v>15.6</v>
      </c>
      <c r="L1493" s="43"/>
      <c r="M1493" s="43">
        <f>L1493*K1493</f>
        <v>0</v>
      </c>
      <c r="N1493" s="35">
        <v>4607015189223</v>
      </c>
    </row>
    <row r="1494" spans="1:14" ht="24" customHeight="1" outlineLevel="3" x14ac:dyDescent="0.2">
      <c r="A1494" s="45">
        <v>15849</v>
      </c>
      <c r="B1494" s="37" t="str">
        <f>HYPERLINK("http://www.sedek.ru/upload/iblock/39e/redis_rubin.jpg","фото")</f>
        <v>фото</v>
      </c>
      <c r="C1494" s="38"/>
      <c r="D1494" s="38"/>
      <c r="E1494" s="39"/>
      <c r="F1494" s="39" t="s">
        <v>1827</v>
      </c>
      <c r="G1494" s="40">
        <v>3</v>
      </c>
      <c r="H1494" s="39" t="s">
        <v>101</v>
      </c>
      <c r="I1494" s="39" t="s">
        <v>287</v>
      </c>
      <c r="J1494" s="41">
        <v>1500</v>
      </c>
      <c r="K1494" s="42">
        <v>7.9</v>
      </c>
      <c r="L1494" s="43"/>
      <c r="M1494" s="43">
        <f>L1494*K1494</f>
        <v>0</v>
      </c>
      <c r="N1494" s="35">
        <v>4690368005234</v>
      </c>
    </row>
    <row r="1495" spans="1:14" ht="36" customHeight="1" outlineLevel="3" x14ac:dyDescent="0.2">
      <c r="A1495" s="45">
        <v>15751</v>
      </c>
      <c r="B1495" s="37" t="str">
        <f>HYPERLINK("http://sedek.ru/upload/iblock/f60/redis_saksa_rs.jpg","фото")</f>
        <v>фото</v>
      </c>
      <c r="C1495" s="38"/>
      <c r="D1495" s="38"/>
      <c r="E1495" s="39"/>
      <c r="F1495" s="39" t="s">
        <v>1828</v>
      </c>
      <c r="G1495" s="40">
        <v>3</v>
      </c>
      <c r="H1495" s="39" t="s">
        <v>101</v>
      </c>
      <c r="I1495" s="39" t="s">
        <v>102</v>
      </c>
      <c r="J1495" s="41">
        <v>1500</v>
      </c>
      <c r="K1495" s="42">
        <v>15.6</v>
      </c>
      <c r="L1495" s="43"/>
      <c r="M1495" s="43">
        <f>L1495*K1495</f>
        <v>0</v>
      </c>
      <c r="N1495" s="35">
        <v>4607015189230</v>
      </c>
    </row>
    <row r="1496" spans="1:14" ht="24" customHeight="1" outlineLevel="3" x14ac:dyDescent="0.2">
      <c r="A1496" s="45">
        <v>15751</v>
      </c>
      <c r="B1496" s="37" t="str">
        <f>HYPERLINK("http://sedek.ru/upload/iblock/f60/redis_saksa_rs.jpg","фото")</f>
        <v>фото</v>
      </c>
      <c r="C1496" s="38"/>
      <c r="D1496" s="38"/>
      <c r="E1496" s="39"/>
      <c r="F1496" s="39" t="s">
        <v>1829</v>
      </c>
      <c r="G1496" s="40">
        <v>3</v>
      </c>
      <c r="H1496" s="39" t="s">
        <v>101</v>
      </c>
      <c r="I1496" s="39" t="s">
        <v>287</v>
      </c>
      <c r="J1496" s="41">
        <v>1500</v>
      </c>
      <c r="K1496" s="42">
        <v>8.5</v>
      </c>
      <c r="L1496" s="43"/>
      <c r="M1496" s="43">
        <f>L1496*K1496</f>
        <v>0</v>
      </c>
      <c r="N1496" s="35">
        <v>4607149407408</v>
      </c>
    </row>
    <row r="1497" spans="1:14" ht="24" customHeight="1" outlineLevel="3" x14ac:dyDescent="0.2">
      <c r="A1497" s="46">
        <v>15300</v>
      </c>
      <c r="B1497" s="47" t="str">
        <f>HYPERLINK("http://sedek.ru/upload/iblock/0f4/redis_sanka.jpg","фото")</f>
        <v>фото</v>
      </c>
      <c r="C1497" s="48"/>
      <c r="D1497" s="48"/>
      <c r="E1497" s="49"/>
      <c r="F1497" s="49" t="s">
        <v>1830</v>
      </c>
      <c r="G1497" s="50">
        <v>2</v>
      </c>
      <c r="H1497" s="49" t="s">
        <v>101</v>
      </c>
      <c r="I1497" s="49" t="s">
        <v>102</v>
      </c>
      <c r="J1497" s="51">
        <v>1500</v>
      </c>
      <c r="K1497" s="52">
        <v>19.5</v>
      </c>
      <c r="L1497" s="53"/>
      <c r="M1497" s="53">
        <f>L1497*K1497</f>
        <v>0</v>
      </c>
      <c r="N1497" s="35">
        <v>4690368004343</v>
      </c>
    </row>
    <row r="1498" spans="1:14" ht="24" customHeight="1" outlineLevel="3" x14ac:dyDescent="0.2">
      <c r="A1498" s="45">
        <v>15613</v>
      </c>
      <c r="B1498" s="37" t="str">
        <f>HYPERLINK("http://sedek.ru/upload/iblock/f28/redis_selyanka.jpg","фото")</f>
        <v>фото</v>
      </c>
      <c r="C1498" s="38"/>
      <c r="D1498" s="38" t="s">
        <v>266</v>
      </c>
      <c r="E1498" s="39"/>
      <c r="F1498" s="39" t="s">
        <v>1831</v>
      </c>
      <c r="G1498" s="40">
        <v>3</v>
      </c>
      <c r="H1498" s="39" t="s">
        <v>101</v>
      </c>
      <c r="I1498" s="39" t="s">
        <v>102</v>
      </c>
      <c r="J1498" s="41">
        <v>1500</v>
      </c>
      <c r="K1498" s="42">
        <v>20.5</v>
      </c>
      <c r="L1498" s="43"/>
      <c r="M1498" s="43">
        <f>L1498*K1498</f>
        <v>0</v>
      </c>
      <c r="N1498" s="35">
        <v>4690368009591</v>
      </c>
    </row>
    <row r="1499" spans="1:14" ht="24" customHeight="1" outlineLevel="3" x14ac:dyDescent="0.2">
      <c r="A1499" s="45">
        <v>15613</v>
      </c>
      <c r="B1499" s="37" t="str">
        <f>HYPERLINK("http://sedek.ru/upload/iblock/f28/redis_selyanka.jpg","фото")</f>
        <v>фото</v>
      </c>
      <c r="C1499" s="38"/>
      <c r="D1499" s="38" t="s">
        <v>266</v>
      </c>
      <c r="E1499" s="39"/>
      <c r="F1499" s="39" t="s">
        <v>1832</v>
      </c>
      <c r="G1499" s="40">
        <v>2</v>
      </c>
      <c r="H1499" s="39" t="s">
        <v>101</v>
      </c>
      <c r="I1499" s="39" t="s">
        <v>102</v>
      </c>
      <c r="J1499" s="41">
        <v>1500</v>
      </c>
      <c r="K1499" s="42">
        <v>20.5</v>
      </c>
      <c r="L1499" s="43"/>
      <c r="M1499" s="43">
        <f>L1499*K1499</f>
        <v>0</v>
      </c>
      <c r="N1499" s="35">
        <v>4690368009591</v>
      </c>
    </row>
    <row r="1500" spans="1:14" ht="24" customHeight="1" outlineLevel="3" x14ac:dyDescent="0.2">
      <c r="A1500" s="45">
        <v>15613</v>
      </c>
      <c r="B1500" s="37" t="str">
        <f>HYPERLINK("http://sedek.ru/upload/iblock/f28/redis_selyanka.jpg","фото")</f>
        <v>фото</v>
      </c>
      <c r="C1500" s="38"/>
      <c r="D1500" s="38" t="s">
        <v>266</v>
      </c>
      <c r="E1500" s="39"/>
      <c r="F1500" s="39" t="s">
        <v>1833</v>
      </c>
      <c r="G1500" s="40">
        <v>2</v>
      </c>
      <c r="H1500" s="39" t="s">
        <v>101</v>
      </c>
      <c r="I1500" s="39" t="s">
        <v>287</v>
      </c>
      <c r="J1500" s="41">
        <v>1500</v>
      </c>
      <c r="K1500" s="42">
        <v>8.8000000000000007</v>
      </c>
      <c r="L1500" s="43"/>
      <c r="M1500" s="43">
        <f>L1500*K1500</f>
        <v>0</v>
      </c>
      <c r="N1500" s="35">
        <v>4690368012126</v>
      </c>
    </row>
    <row r="1501" spans="1:14" ht="24" customHeight="1" outlineLevel="3" x14ac:dyDescent="0.2">
      <c r="A1501" s="45">
        <v>15805</v>
      </c>
      <c r="B1501" s="37" t="str">
        <f>HYPERLINK("http://sedek.ru/upload/iblock/2b1/redis_seryezhkina_lyubov.jpg","фото")</f>
        <v>фото</v>
      </c>
      <c r="C1501" s="38"/>
      <c r="D1501" s="38"/>
      <c r="E1501" s="39"/>
      <c r="F1501" s="39" t="s">
        <v>1834</v>
      </c>
      <c r="G1501" s="40">
        <v>2</v>
      </c>
      <c r="H1501" s="39" t="s">
        <v>101</v>
      </c>
      <c r="I1501" s="39" t="s">
        <v>102</v>
      </c>
      <c r="J1501" s="41">
        <v>1500</v>
      </c>
      <c r="K1501" s="42">
        <v>20.5</v>
      </c>
      <c r="L1501" s="43"/>
      <c r="M1501" s="43">
        <f>L1501*K1501</f>
        <v>0</v>
      </c>
      <c r="N1501" s="35">
        <v>4690368007917</v>
      </c>
    </row>
    <row r="1502" spans="1:14" ht="36" customHeight="1" outlineLevel="3" x14ac:dyDescent="0.2">
      <c r="A1502" s="45">
        <v>14328</v>
      </c>
      <c r="B1502" s="37" t="str">
        <f>HYPERLINK("http://www.sedek.ru/upload/iblock/8cc/redis_sladkoezhka.jpg","фото")</f>
        <v>фото</v>
      </c>
      <c r="C1502" s="38"/>
      <c r="D1502" s="38"/>
      <c r="E1502" s="39"/>
      <c r="F1502" s="39" t="s">
        <v>1835</v>
      </c>
      <c r="G1502" s="40">
        <v>2</v>
      </c>
      <c r="H1502" s="39" t="s">
        <v>101</v>
      </c>
      <c r="I1502" s="39" t="s">
        <v>102</v>
      </c>
      <c r="J1502" s="41">
        <v>1500</v>
      </c>
      <c r="K1502" s="42">
        <v>20.5</v>
      </c>
      <c r="L1502" s="43"/>
      <c r="M1502" s="43">
        <f>L1502*K1502</f>
        <v>0</v>
      </c>
      <c r="N1502" s="35">
        <v>4690368009621</v>
      </c>
    </row>
    <row r="1503" spans="1:14" ht="36" customHeight="1" outlineLevel="3" x14ac:dyDescent="0.2">
      <c r="A1503" s="45">
        <v>14433</v>
      </c>
      <c r="B1503" s="37" t="str">
        <f>HYPERLINK("http://www.sedek.ru/upload/iblock/715/redis_snezhnaya_koroleva.jpg","фото")</f>
        <v>фото</v>
      </c>
      <c r="C1503" s="38"/>
      <c r="D1503" s="38"/>
      <c r="E1503" s="39"/>
      <c r="F1503" s="39" t="s">
        <v>1836</v>
      </c>
      <c r="G1503" s="40">
        <v>3</v>
      </c>
      <c r="H1503" s="39" t="s">
        <v>101</v>
      </c>
      <c r="I1503" s="39" t="s">
        <v>102</v>
      </c>
      <c r="J1503" s="41">
        <v>1500</v>
      </c>
      <c r="K1503" s="42">
        <v>20.5</v>
      </c>
      <c r="L1503" s="43"/>
      <c r="M1503" s="43">
        <f>L1503*K1503</f>
        <v>0</v>
      </c>
      <c r="N1503" s="35">
        <v>4607015189254</v>
      </c>
    </row>
    <row r="1504" spans="1:14" ht="36" customHeight="1" outlineLevel="3" x14ac:dyDescent="0.2">
      <c r="A1504" s="45">
        <v>14433</v>
      </c>
      <c r="B1504" s="37" t="str">
        <f>HYPERLINK("http://www.sedek.ru/upload/iblock/715/redis_snezhnaya_koroleva.jpg","фото")</f>
        <v>фото</v>
      </c>
      <c r="C1504" s="38"/>
      <c r="D1504" s="38"/>
      <c r="E1504" s="39"/>
      <c r="F1504" s="39" t="s">
        <v>1837</v>
      </c>
      <c r="G1504" s="40">
        <v>3</v>
      </c>
      <c r="H1504" s="39" t="s">
        <v>101</v>
      </c>
      <c r="I1504" s="39" t="s">
        <v>287</v>
      </c>
      <c r="J1504" s="41">
        <v>1500</v>
      </c>
      <c r="K1504" s="42">
        <v>8.8000000000000007</v>
      </c>
      <c r="L1504" s="43"/>
      <c r="M1504" s="43">
        <f>L1504*K1504</f>
        <v>0</v>
      </c>
      <c r="N1504" s="35">
        <v>4607149407422</v>
      </c>
    </row>
    <row r="1505" spans="1:14" ht="36" customHeight="1" outlineLevel="3" x14ac:dyDescent="0.2">
      <c r="A1505" s="45">
        <v>16090</v>
      </c>
      <c r="B1505" s="37" t="str">
        <f>HYPERLINK("http://sedek.ru/upload/iblock/43e/redis_sosulka.jpg","фото")</f>
        <v>фото</v>
      </c>
      <c r="C1505" s="38"/>
      <c r="D1505" s="38"/>
      <c r="E1505" s="39"/>
      <c r="F1505" s="39" t="s">
        <v>1838</v>
      </c>
      <c r="G1505" s="40">
        <v>3</v>
      </c>
      <c r="H1505" s="39" t="s">
        <v>101</v>
      </c>
      <c r="I1505" s="39" t="s">
        <v>102</v>
      </c>
      <c r="J1505" s="41">
        <v>1500</v>
      </c>
      <c r="K1505" s="42">
        <v>19.3</v>
      </c>
      <c r="L1505" s="43"/>
      <c r="M1505" s="43">
        <f>L1505*K1505</f>
        <v>0</v>
      </c>
      <c r="N1505" s="35">
        <v>4607015189179</v>
      </c>
    </row>
    <row r="1506" spans="1:14" ht="24" customHeight="1" outlineLevel="3" x14ac:dyDescent="0.2">
      <c r="A1506" s="45">
        <v>16090</v>
      </c>
      <c r="B1506" s="37" t="str">
        <f>HYPERLINK("http://sedek.ru/upload/iblock/43e/redis_sosulka.jpg","фото")</f>
        <v>фото</v>
      </c>
      <c r="C1506" s="38"/>
      <c r="D1506" s="38"/>
      <c r="E1506" s="39"/>
      <c r="F1506" s="39" t="s">
        <v>1839</v>
      </c>
      <c r="G1506" s="40">
        <v>3</v>
      </c>
      <c r="H1506" s="39" t="s">
        <v>101</v>
      </c>
      <c r="I1506" s="39" t="s">
        <v>287</v>
      </c>
      <c r="J1506" s="41">
        <v>1500</v>
      </c>
      <c r="K1506" s="42">
        <v>8.4</v>
      </c>
      <c r="L1506" s="43"/>
      <c r="M1506" s="43">
        <f>L1506*K1506</f>
        <v>0</v>
      </c>
      <c r="N1506" s="35">
        <v>4607149408474</v>
      </c>
    </row>
    <row r="1507" spans="1:14" ht="36" customHeight="1" outlineLevel="3" x14ac:dyDescent="0.2">
      <c r="A1507" s="45">
        <v>14462</v>
      </c>
      <c r="B1507" s="37" t="str">
        <f>HYPERLINK("http://www.sedek.ru/upload/iblock/b49/redis_stoykiy.jpg","фото")</f>
        <v>фото</v>
      </c>
      <c r="C1507" s="38"/>
      <c r="D1507" s="38"/>
      <c r="E1507" s="39"/>
      <c r="F1507" s="39" t="s">
        <v>1840</v>
      </c>
      <c r="G1507" s="40">
        <v>3</v>
      </c>
      <c r="H1507" s="39" t="s">
        <v>101</v>
      </c>
      <c r="I1507" s="39" t="s">
        <v>102</v>
      </c>
      <c r="J1507" s="41">
        <v>1500</v>
      </c>
      <c r="K1507" s="42">
        <v>20.5</v>
      </c>
      <c r="L1507" s="43"/>
      <c r="M1507" s="43">
        <f>L1507*K1507</f>
        <v>0</v>
      </c>
      <c r="N1507" s="35">
        <v>4607015189278</v>
      </c>
    </row>
    <row r="1508" spans="1:14" ht="36" customHeight="1" outlineLevel="3" x14ac:dyDescent="0.2">
      <c r="A1508" s="45">
        <v>14462</v>
      </c>
      <c r="B1508" s="37" t="str">
        <f>HYPERLINK("http://www.sedek.ru/upload/iblock/b49/redis_stoykiy.jpg","фото")</f>
        <v>фото</v>
      </c>
      <c r="C1508" s="38"/>
      <c r="D1508" s="38"/>
      <c r="E1508" s="39"/>
      <c r="F1508" s="39" t="s">
        <v>1841</v>
      </c>
      <c r="G1508" s="40">
        <v>3</v>
      </c>
      <c r="H1508" s="39" t="s">
        <v>101</v>
      </c>
      <c r="I1508" s="39" t="s">
        <v>287</v>
      </c>
      <c r="J1508" s="41">
        <v>1500</v>
      </c>
      <c r="K1508" s="42">
        <v>8.9</v>
      </c>
      <c r="L1508" s="43"/>
      <c r="M1508" s="43">
        <f>L1508*K1508</f>
        <v>0</v>
      </c>
      <c r="N1508" s="35">
        <v>4690368006415</v>
      </c>
    </row>
    <row r="1509" spans="1:14" ht="36" customHeight="1" outlineLevel="3" x14ac:dyDescent="0.2">
      <c r="A1509" s="36" t="s">
        <v>1842</v>
      </c>
      <c r="B1509" s="37" t="str">
        <f>HYPERLINK("http://sedek.ru/upload/iblock/cc8/redis_superstar.jpg","фото")</f>
        <v>фото</v>
      </c>
      <c r="C1509" s="38"/>
      <c r="D1509" s="38" t="s">
        <v>266</v>
      </c>
      <c r="E1509" s="39"/>
      <c r="F1509" s="39" t="s">
        <v>1843</v>
      </c>
      <c r="G1509" s="40">
        <v>1</v>
      </c>
      <c r="H1509" s="39" t="s">
        <v>101</v>
      </c>
      <c r="I1509" s="39" t="s">
        <v>102</v>
      </c>
      <c r="J1509" s="41">
        <v>1500</v>
      </c>
      <c r="K1509" s="42">
        <v>21</v>
      </c>
      <c r="L1509" s="43"/>
      <c r="M1509" s="43">
        <f>L1509*K1509</f>
        <v>0</v>
      </c>
      <c r="N1509" s="35">
        <v>4690368026499</v>
      </c>
    </row>
    <row r="1510" spans="1:14" ht="36" customHeight="1" outlineLevel="3" x14ac:dyDescent="0.2">
      <c r="A1510" s="45">
        <v>14437</v>
      </c>
      <c r="B1510" s="37" t="str">
        <f>HYPERLINK("http://sedek.ru/upload/iblock/99d/redis_syurpriz_tyeshchi.jpg","фото")</f>
        <v>фото</v>
      </c>
      <c r="C1510" s="38"/>
      <c r="D1510" s="38"/>
      <c r="E1510" s="39"/>
      <c r="F1510" s="39" t="s">
        <v>1844</v>
      </c>
      <c r="G1510" s="40">
        <v>2</v>
      </c>
      <c r="H1510" s="39" t="s">
        <v>101</v>
      </c>
      <c r="I1510" s="39" t="s">
        <v>102</v>
      </c>
      <c r="J1510" s="41">
        <v>1500</v>
      </c>
      <c r="K1510" s="42">
        <v>20.5</v>
      </c>
      <c r="L1510" s="43"/>
      <c r="M1510" s="43">
        <f>L1510*K1510</f>
        <v>0</v>
      </c>
      <c r="N1510" s="35">
        <v>4690368007924</v>
      </c>
    </row>
    <row r="1511" spans="1:14" ht="24" customHeight="1" outlineLevel="3" x14ac:dyDescent="0.2">
      <c r="A1511" s="45">
        <v>14055</v>
      </c>
      <c r="B1511" s="37" t="str">
        <f>HYPERLINK("http://sedek.ru/upload/iblock/6c2/redis_teplichnyy.jpg","фото")</f>
        <v>фото</v>
      </c>
      <c r="C1511" s="38"/>
      <c r="D1511" s="38"/>
      <c r="E1511" s="39"/>
      <c r="F1511" s="39" t="s">
        <v>1845</v>
      </c>
      <c r="G1511" s="40">
        <v>3</v>
      </c>
      <c r="H1511" s="39" t="s">
        <v>101</v>
      </c>
      <c r="I1511" s="39" t="s">
        <v>102</v>
      </c>
      <c r="J1511" s="41">
        <v>1500</v>
      </c>
      <c r="K1511" s="42">
        <v>19.3</v>
      </c>
      <c r="L1511" s="43"/>
      <c r="M1511" s="43">
        <f>L1511*K1511</f>
        <v>0</v>
      </c>
      <c r="N1511" s="35">
        <v>4607015189285</v>
      </c>
    </row>
    <row r="1512" spans="1:14" ht="24" customHeight="1" outlineLevel="3" x14ac:dyDescent="0.2">
      <c r="A1512" s="45">
        <v>14055</v>
      </c>
      <c r="B1512" s="37" t="str">
        <f>HYPERLINK("http://sedek.ru/upload/iblock/6c2/redis_teplichnyy.jpg","фото")</f>
        <v>фото</v>
      </c>
      <c r="C1512" s="38"/>
      <c r="D1512" s="38"/>
      <c r="E1512" s="39"/>
      <c r="F1512" s="39" t="s">
        <v>1846</v>
      </c>
      <c r="G1512" s="40">
        <v>3</v>
      </c>
      <c r="H1512" s="39" t="s">
        <v>101</v>
      </c>
      <c r="I1512" s="39" t="s">
        <v>287</v>
      </c>
      <c r="J1512" s="41">
        <v>1500</v>
      </c>
      <c r="K1512" s="42">
        <v>8.5</v>
      </c>
      <c r="L1512" s="43"/>
      <c r="M1512" s="43">
        <f>L1512*K1512</f>
        <v>0</v>
      </c>
      <c r="N1512" s="35">
        <v>4690368005241</v>
      </c>
    </row>
    <row r="1513" spans="1:14" ht="24" customHeight="1" outlineLevel="3" x14ac:dyDescent="0.2">
      <c r="A1513" s="45">
        <v>15717</v>
      </c>
      <c r="B1513" s="37" t="str">
        <f>HYPERLINK("http://sedek.ru/upload/iblock/6dd/redis_tri_nedelki.jpg","фото")</f>
        <v>фото</v>
      </c>
      <c r="C1513" s="38"/>
      <c r="D1513" s="38"/>
      <c r="E1513" s="39"/>
      <c r="F1513" s="39" t="s">
        <v>1847</v>
      </c>
      <c r="G1513" s="40">
        <v>2</v>
      </c>
      <c r="H1513" s="39" t="s">
        <v>101</v>
      </c>
      <c r="I1513" s="39" t="s">
        <v>102</v>
      </c>
      <c r="J1513" s="41">
        <v>1500</v>
      </c>
      <c r="K1513" s="42">
        <v>20.5</v>
      </c>
      <c r="L1513" s="43"/>
      <c r="M1513" s="43">
        <f>L1513*K1513</f>
        <v>0</v>
      </c>
      <c r="N1513" s="35">
        <v>4690368005920</v>
      </c>
    </row>
    <row r="1514" spans="1:14" ht="36" customHeight="1" outlineLevel="3" x14ac:dyDescent="0.2">
      <c r="A1514" s="45">
        <v>16050</v>
      </c>
      <c r="B1514" s="37" t="str">
        <f>HYPERLINK("http://www.sedek.ru/upload/iblock/cd3/redis_udlinennyy.JPG","фото")</f>
        <v>фото</v>
      </c>
      <c r="C1514" s="38"/>
      <c r="D1514" s="38"/>
      <c r="E1514" s="39"/>
      <c r="F1514" s="39" t="s">
        <v>1848</v>
      </c>
      <c r="G1514" s="40">
        <v>3</v>
      </c>
      <c r="H1514" s="39" t="s">
        <v>101</v>
      </c>
      <c r="I1514" s="39" t="s">
        <v>102</v>
      </c>
      <c r="J1514" s="41">
        <v>1500</v>
      </c>
      <c r="K1514" s="42">
        <v>20.5</v>
      </c>
      <c r="L1514" s="43"/>
      <c r="M1514" s="43">
        <f>L1514*K1514</f>
        <v>0</v>
      </c>
      <c r="N1514" s="35">
        <v>4690368007931</v>
      </c>
    </row>
    <row r="1515" spans="1:14" ht="36" customHeight="1" outlineLevel="3" x14ac:dyDescent="0.2">
      <c r="A1515" s="45">
        <v>15917</v>
      </c>
      <c r="B1515" s="37" t="str">
        <f>HYPERLINK("http://sedek.ru/upload/iblock/15f/redis_ultraranniy_krasnyy.jpg","фото")</f>
        <v>фото</v>
      </c>
      <c r="C1515" s="38"/>
      <c r="D1515" s="38"/>
      <c r="E1515" s="39"/>
      <c r="F1515" s="39" t="s">
        <v>1849</v>
      </c>
      <c r="G1515" s="40">
        <v>3</v>
      </c>
      <c r="H1515" s="39" t="s">
        <v>101</v>
      </c>
      <c r="I1515" s="39" t="s">
        <v>102</v>
      </c>
      <c r="J1515" s="41">
        <v>1500</v>
      </c>
      <c r="K1515" s="42">
        <v>20.5</v>
      </c>
      <c r="L1515" s="43"/>
      <c r="M1515" s="43">
        <f>L1515*K1515</f>
        <v>0</v>
      </c>
      <c r="N1515" s="35">
        <v>4607149403448</v>
      </c>
    </row>
    <row r="1516" spans="1:14" ht="36" customHeight="1" outlineLevel="3" x14ac:dyDescent="0.2">
      <c r="A1516" s="45">
        <v>15917</v>
      </c>
      <c r="B1516" s="37" t="str">
        <f>HYPERLINK("http://sedek.ru/upload/iblock/15f/redis_ultraranniy_krasnyy.jpg","фото")</f>
        <v>фото</v>
      </c>
      <c r="C1516" s="38"/>
      <c r="D1516" s="38"/>
      <c r="E1516" s="39"/>
      <c r="F1516" s="39" t="s">
        <v>1850</v>
      </c>
      <c r="G1516" s="40">
        <v>3</v>
      </c>
      <c r="H1516" s="39" t="s">
        <v>101</v>
      </c>
      <c r="I1516" s="39" t="s">
        <v>287</v>
      </c>
      <c r="J1516" s="41">
        <v>1500</v>
      </c>
      <c r="K1516" s="42">
        <v>9.6</v>
      </c>
      <c r="L1516" s="43"/>
      <c r="M1516" s="43">
        <f>L1516*K1516</f>
        <v>0</v>
      </c>
      <c r="N1516" s="35">
        <v>4607149407415</v>
      </c>
    </row>
    <row r="1517" spans="1:14" ht="36" customHeight="1" outlineLevel="3" x14ac:dyDescent="0.2">
      <c r="A1517" s="45">
        <v>16113</v>
      </c>
      <c r="B1517" s="37" t="str">
        <f>HYPERLINK("http://www.sedek.ru/upload/iblock/fdb/redis_frantsuzskiy_zavtrak.jpg","фото")</f>
        <v>фото</v>
      </c>
      <c r="C1517" s="38"/>
      <c r="D1517" s="38"/>
      <c r="E1517" s="39"/>
      <c r="F1517" s="39" t="s">
        <v>1851</v>
      </c>
      <c r="G1517" s="40">
        <v>3</v>
      </c>
      <c r="H1517" s="39" t="s">
        <v>101</v>
      </c>
      <c r="I1517" s="39" t="s">
        <v>102</v>
      </c>
      <c r="J1517" s="41">
        <v>1500</v>
      </c>
      <c r="K1517" s="42">
        <v>15.6</v>
      </c>
      <c r="L1517" s="43"/>
      <c r="M1517" s="43">
        <f>L1517*K1517</f>
        <v>0</v>
      </c>
      <c r="N1517" s="35">
        <v>4607015189292</v>
      </c>
    </row>
    <row r="1518" spans="1:14" ht="24" customHeight="1" outlineLevel="3" x14ac:dyDescent="0.2">
      <c r="A1518" s="45">
        <v>15741</v>
      </c>
      <c r="B1518" s="37" t="str">
        <f>HYPERLINK("http://sedek.ru/upload/iblock/e5e/redis_khrust.jpg","фото")</f>
        <v>фото</v>
      </c>
      <c r="C1518" s="38"/>
      <c r="D1518" s="38"/>
      <c r="E1518" s="39"/>
      <c r="F1518" s="39" t="s">
        <v>1852</v>
      </c>
      <c r="G1518" s="40">
        <v>3</v>
      </c>
      <c r="H1518" s="39" t="s">
        <v>101</v>
      </c>
      <c r="I1518" s="39" t="s">
        <v>102</v>
      </c>
      <c r="J1518" s="41">
        <v>1500</v>
      </c>
      <c r="K1518" s="42">
        <v>20.5</v>
      </c>
      <c r="L1518" s="43"/>
      <c r="M1518" s="43">
        <f>L1518*K1518</f>
        <v>0</v>
      </c>
      <c r="N1518" s="35">
        <v>4607149403479</v>
      </c>
    </row>
    <row r="1519" spans="1:14" ht="24" customHeight="1" outlineLevel="3" x14ac:dyDescent="0.2">
      <c r="A1519" s="45">
        <v>15741</v>
      </c>
      <c r="B1519" s="37" t="str">
        <f>HYPERLINK("http://sedek.ru/upload/iblock/e5e/redis_khrust.jpg","фото")</f>
        <v>фото</v>
      </c>
      <c r="C1519" s="38"/>
      <c r="D1519" s="38"/>
      <c r="E1519" s="39"/>
      <c r="F1519" s="39" t="s">
        <v>1853</v>
      </c>
      <c r="G1519" s="40">
        <v>2</v>
      </c>
      <c r="H1519" s="39" t="s">
        <v>101</v>
      </c>
      <c r="I1519" s="39" t="s">
        <v>102</v>
      </c>
      <c r="J1519" s="41">
        <v>1500</v>
      </c>
      <c r="K1519" s="42">
        <v>20.5</v>
      </c>
      <c r="L1519" s="43"/>
      <c r="M1519" s="43">
        <f>L1519*K1519</f>
        <v>0</v>
      </c>
      <c r="N1519" s="35">
        <v>4607149403479</v>
      </c>
    </row>
    <row r="1520" spans="1:14" ht="24" customHeight="1" outlineLevel="3" x14ac:dyDescent="0.2">
      <c r="A1520" s="45">
        <v>15741</v>
      </c>
      <c r="B1520" s="37" t="str">
        <f>HYPERLINK("http://sedek.ru/upload/iblock/e5e/redis_khrust.jpg","фото")</f>
        <v>фото</v>
      </c>
      <c r="C1520" s="38"/>
      <c r="D1520" s="38"/>
      <c r="E1520" s="39"/>
      <c r="F1520" s="39" t="s">
        <v>1854</v>
      </c>
      <c r="G1520" s="40">
        <v>2</v>
      </c>
      <c r="H1520" s="39" t="s">
        <v>101</v>
      </c>
      <c r="I1520" s="39" t="s">
        <v>287</v>
      </c>
      <c r="J1520" s="41">
        <v>1500</v>
      </c>
      <c r="K1520" s="42">
        <v>9.6</v>
      </c>
      <c r="L1520" s="43"/>
      <c r="M1520" s="43">
        <f>L1520*K1520</f>
        <v>0</v>
      </c>
      <c r="N1520" s="35">
        <v>4690368001113</v>
      </c>
    </row>
    <row r="1521" spans="1:14" ht="36" customHeight="1" outlineLevel="3" x14ac:dyDescent="0.2">
      <c r="A1521" s="46">
        <v>15310</v>
      </c>
      <c r="B1521" s="47" t="str">
        <f>HYPERLINK("http://www.sedek.ru/upload/iblock/35c/redis_chempion.jpg","фото")</f>
        <v>фото</v>
      </c>
      <c r="C1521" s="48"/>
      <c r="D1521" s="48"/>
      <c r="E1521" s="49"/>
      <c r="F1521" s="49" t="s">
        <v>1855</v>
      </c>
      <c r="G1521" s="50">
        <v>3</v>
      </c>
      <c r="H1521" s="49" t="s">
        <v>101</v>
      </c>
      <c r="I1521" s="49" t="s">
        <v>102</v>
      </c>
      <c r="J1521" s="51">
        <v>1500</v>
      </c>
      <c r="K1521" s="52">
        <v>16.100000000000001</v>
      </c>
      <c r="L1521" s="53"/>
      <c r="M1521" s="53">
        <f>L1521*K1521</f>
        <v>0</v>
      </c>
      <c r="N1521" s="35">
        <v>4607149400959</v>
      </c>
    </row>
    <row r="1522" spans="1:14" ht="36" customHeight="1" outlineLevel="3" x14ac:dyDescent="0.2">
      <c r="A1522" s="71">
        <v>15310</v>
      </c>
      <c r="B1522" s="72" t="str">
        <f>HYPERLINK("http://www.sedek.ru/upload/iblock/35c/redis_chempion.jpg","фото")</f>
        <v>фото</v>
      </c>
      <c r="C1522" s="73"/>
      <c r="D1522" s="73"/>
      <c r="E1522" s="74"/>
      <c r="F1522" s="74" t="s">
        <v>1856</v>
      </c>
      <c r="G1522" s="75">
        <v>3</v>
      </c>
      <c r="H1522" s="74" t="s">
        <v>101</v>
      </c>
      <c r="I1522" s="74" t="s">
        <v>287</v>
      </c>
      <c r="J1522" s="76">
        <v>1500</v>
      </c>
      <c r="K1522" s="77">
        <v>7.6</v>
      </c>
      <c r="L1522" s="78"/>
      <c r="M1522" s="78">
        <f>L1522*K1522</f>
        <v>0</v>
      </c>
      <c r="N1522" s="79">
        <v>4607149405763</v>
      </c>
    </row>
    <row r="1523" spans="1:14" ht="36" customHeight="1" outlineLevel="3" x14ac:dyDescent="0.2">
      <c r="A1523" s="36" t="s">
        <v>1857</v>
      </c>
      <c r="B1523" s="37" t="str">
        <f>HYPERLINK("http://www.sedek.ru/upload/iblock/796/lrggcd7n2j4qdsd4770qcxa181g8qwbb/redis_f1_cherriso.jpg","фото")</f>
        <v>фото</v>
      </c>
      <c r="C1523" s="38" t="s">
        <v>266</v>
      </c>
      <c r="D1523" s="38"/>
      <c r="E1523" s="39"/>
      <c r="F1523" s="39" t="s">
        <v>1858</v>
      </c>
      <c r="G1523" s="40">
        <v>1</v>
      </c>
      <c r="H1523" s="39"/>
      <c r="I1523" s="39" t="s">
        <v>102</v>
      </c>
      <c r="J1523" s="41">
        <v>1500</v>
      </c>
      <c r="K1523" s="42">
        <v>40.5</v>
      </c>
      <c r="L1523" s="43"/>
      <c r="M1523" s="43">
        <f>L1523*K1523</f>
        <v>0</v>
      </c>
      <c r="N1523" s="35">
        <v>4690368044936</v>
      </c>
    </row>
    <row r="1524" spans="1:14" ht="36" customHeight="1" outlineLevel="3" x14ac:dyDescent="0.2">
      <c r="A1524" s="36" t="s">
        <v>1859</v>
      </c>
      <c r="B1524" s="37" t="str">
        <f>HYPERLINK("http://www.sedek.ru/upload/resize_cache/iblock/221/on99lqz66zvx4fu7w7ckdf6rzayv714v/150_260_140cd750bba9870f18aada2478b24840a/redis_f1_cherriso_disko.jpg","фото")</f>
        <v>фото</v>
      </c>
      <c r="C1524" s="38" t="s">
        <v>266</v>
      </c>
      <c r="D1524" s="38" t="s">
        <v>266</v>
      </c>
      <c r="E1524" s="39"/>
      <c r="F1524" s="39" t="s">
        <v>1860</v>
      </c>
      <c r="G1524" s="40">
        <v>1</v>
      </c>
      <c r="H1524" s="39"/>
      <c r="I1524" s="39" t="s">
        <v>102</v>
      </c>
      <c r="J1524" s="41">
        <v>1500</v>
      </c>
      <c r="K1524" s="42">
        <v>40.5</v>
      </c>
      <c r="L1524" s="43"/>
      <c r="M1524" s="43">
        <f>L1524*K1524</f>
        <v>0</v>
      </c>
      <c r="N1524" s="35">
        <v>4690368044943</v>
      </c>
    </row>
    <row r="1525" spans="1:14" ht="24" customHeight="1" outlineLevel="3" x14ac:dyDescent="0.2">
      <c r="A1525" s="36" t="s">
        <v>1861</v>
      </c>
      <c r="B1525" s="37" t="str">
        <f>HYPERLINK("http://www.sedek.ru/upload/iblock/b76/yn2mtkp9ri5v6e494yc020sij79c34mf/redis_f1_cherriso_samba.jpg","фото")</f>
        <v>фото</v>
      </c>
      <c r="C1525" s="38" t="s">
        <v>266</v>
      </c>
      <c r="D1525" s="38" t="s">
        <v>266</v>
      </c>
      <c r="E1525" s="39"/>
      <c r="F1525" s="39" t="s">
        <v>1862</v>
      </c>
      <c r="G1525" s="40">
        <v>1</v>
      </c>
      <c r="H1525" s="39"/>
      <c r="I1525" s="39" t="s">
        <v>102</v>
      </c>
      <c r="J1525" s="41">
        <v>1500</v>
      </c>
      <c r="K1525" s="42">
        <v>40.5</v>
      </c>
      <c r="L1525" s="43"/>
      <c r="M1525" s="43">
        <f>L1525*K1525</f>
        <v>0</v>
      </c>
      <c r="N1525" s="35">
        <v>4690368044950</v>
      </c>
    </row>
    <row r="1526" spans="1:14" ht="36" customHeight="1" outlineLevel="3" x14ac:dyDescent="0.2">
      <c r="A1526" s="36" t="s">
        <v>1863</v>
      </c>
      <c r="B1526" s="37" t="str">
        <f>HYPERLINK("http://www.sedek.ru/upload/iblock/c2f/hhv3202zfv6x5bjkmixc8opsfbn8kmkm/redis_f1_cherriso_tango.jpg","фото")</f>
        <v>фото</v>
      </c>
      <c r="C1526" s="38" t="s">
        <v>266</v>
      </c>
      <c r="D1526" s="38" t="s">
        <v>266</v>
      </c>
      <c r="E1526" s="39"/>
      <c r="F1526" s="39" t="s">
        <v>1864</v>
      </c>
      <c r="G1526" s="40">
        <v>1</v>
      </c>
      <c r="H1526" s="39"/>
      <c r="I1526" s="39" t="s">
        <v>102</v>
      </c>
      <c r="J1526" s="41">
        <v>1500</v>
      </c>
      <c r="K1526" s="42">
        <v>40.5</v>
      </c>
      <c r="L1526" s="43"/>
      <c r="M1526" s="43">
        <f>L1526*K1526</f>
        <v>0</v>
      </c>
      <c r="N1526" s="35">
        <v>4690368044967</v>
      </c>
    </row>
    <row r="1527" spans="1:14" ht="12" customHeight="1" outlineLevel="2" x14ac:dyDescent="0.2">
      <c r="A1527" s="22"/>
      <c r="B1527" s="23"/>
      <c r="C1527" s="23"/>
      <c r="D1527" s="23"/>
      <c r="E1527" s="24"/>
      <c r="F1527" s="24" t="s">
        <v>1865</v>
      </c>
      <c r="G1527" s="24"/>
      <c r="H1527" s="24"/>
      <c r="I1527" s="24"/>
      <c r="J1527" s="24"/>
      <c r="K1527" s="24"/>
      <c r="L1527" s="24"/>
      <c r="M1527" s="24"/>
      <c r="N1527" s="25"/>
    </row>
    <row r="1528" spans="1:14" ht="24" customHeight="1" outlineLevel="3" x14ac:dyDescent="0.2">
      <c r="A1528" s="45">
        <v>16059</v>
      </c>
      <c r="B1528" s="37" t="str">
        <f>HYPERLINK("http://sedek.ru/upload/iblock/889/redka_agata.jpg","фото")</f>
        <v>фото</v>
      </c>
      <c r="C1528" s="38"/>
      <c r="D1528" s="38"/>
      <c r="E1528" s="39"/>
      <c r="F1528" s="39" t="s">
        <v>1866</v>
      </c>
      <c r="G1528" s="40">
        <v>1</v>
      </c>
      <c r="H1528" s="39" t="s">
        <v>101</v>
      </c>
      <c r="I1528" s="39" t="s">
        <v>102</v>
      </c>
      <c r="J1528" s="41">
        <v>1500</v>
      </c>
      <c r="K1528" s="42">
        <v>20.5</v>
      </c>
      <c r="L1528" s="43"/>
      <c r="M1528" s="43">
        <f>L1528*K1528</f>
        <v>0</v>
      </c>
      <c r="N1528" s="35">
        <v>4607015189322</v>
      </c>
    </row>
    <row r="1529" spans="1:14" ht="24" customHeight="1" outlineLevel="3" x14ac:dyDescent="0.2">
      <c r="A1529" s="45">
        <v>16059</v>
      </c>
      <c r="B1529" s="37" t="str">
        <f>HYPERLINK("http://sedek.ru/upload/iblock/889/redka_agata.jpg","фото")</f>
        <v>фото</v>
      </c>
      <c r="C1529" s="38"/>
      <c r="D1529" s="38"/>
      <c r="E1529" s="39"/>
      <c r="F1529" s="39" t="s">
        <v>1867</v>
      </c>
      <c r="G1529" s="40">
        <v>1</v>
      </c>
      <c r="H1529" s="39" t="s">
        <v>101</v>
      </c>
      <c r="I1529" s="39" t="s">
        <v>287</v>
      </c>
      <c r="J1529" s="41">
        <v>1500</v>
      </c>
      <c r="K1529" s="42">
        <v>6.5</v>
      </c>
      <c r="L1529" s="43"/>
      <c r="M1529" s="43">
        <f>L1529*K1529</f>
        <v>0</v>
      </c>
      <c r="N1529" s="35">
        <v>4690368013277</v>
      </c>
    </row>
    <row r="1530" spans="1:14" ht="36" customHeight="1" outlineLevel="3" x14ac:dyDescent="0.2">
      <c r="A1530" s="36" t="s">
        <v>1868</v>
      </c>
      <c r="B1530" s="37" t="str">
        <f>HYPERLINK("http://www.sedek.ru/upload/iblock/db5/redka_azhur_chernyy.jpg","фото")</f>
        <v>фото</v>
      </c>
      <c r="C1530" s="38"/>
      <c r="D1530" s="38"/>
      <c r="E1530" s="39" t="s">
        <v>263</v>
      </c>
      <c r="F1530" s="39" t="s">
        <v>1869</v>
      </c>
      <c r="G1530" s="40">
        <v>1</v>
      </c>
      <c r="H1530" s="39" t="s">
        <v>101</v>
      </c>
      <c r="I1530" s="39" t="s">
        <v>102</v>
      </c>
      <c r="J1530" s="41">
        <v>1500</v>
      </c>
      <c r="K1530" s="42">
        <v>20.5</v>
      </c>
      <c r="L1530" s="43"/>
      <c r="M1530" s="43">
        <f>L1530*K1530</f>
        <v>0</v>
      </c>
      <c r="N1530" s="35">
        <v>4690368038867</v>
      </c>
    </row>
    <row r="1531" spans="1:14" ht="36" customHeight="1" outlineLevel="3" x14ac:dyDescent="0.2">
      <c r="A1531" s="45">
        <v>15806</v>
      </c>
      <c r="B1531" s="37" t="str">
        <f>HYPERLINK("http://sedek.ru/upload/iblock/4f5/redka_vnuchka_f1.jpg","фото")</f>
        <v>фото</v>
      </c>
      <c r="C1531" s="38"/>
      <c r="D1531" s="38"/>
      <c r="E1531" s="39"/>
      <c r="F1531" s="39" t="s">
        <v>1870</v>
      </c>
      <c r="G1531" s="40">
        <v>1</v>
      </c>
      <c r="H1531" s="39" t="s">
        <v>101</v>
      </c>
      <c r="I1531" s="39" t="s">
        <v>102</v>
      </c>
      <c r="J1531" s="41">
        <v>1500</v>
      </c>
      <c r="K1531" s="42">
        <v>20.5</v>
      </c>
      <c r="L1531" s="43"/>
      <c r="M1531" s="43">
        <f>L1531*K1531</f>
        <v>0</v>
      </c>
      <c r="N1531" s="35">
        <v>4690368007948</v>
      </c>
    </row>
    <row r="1532" spans="1:14" ht="24" customHeight="1" outlineLevel="3" x14ac:dyDescent="0.2">
      <c r="A1532" s="45">
        <v>15884</v>
      </c>
      <c r="B1532" s="37" t="str">
        <f>HYPERLINK("http://sedek.ru/upload/iblock/4a9/redka_detskiy_son.jpg","фото")</f>
        <v>фото</v>
      </c>
      <c r="C1532" s="38"/>
      <c r="D1532" s="38"/>
      <c r="E1532" s="39"/>
      <c r="F1532" s="39" t="s">
        <v>1871</v>
      </c>
      <c r="G1532" s="40">
        <v>1</v>
      </c>
      <c r="H1532" s="39" t="s">
        <v>101</v>
      </c>
      <c r="I1532" s="39" t="s">
        <v>102</v>
      </c>
      <c r="J1532" s="41">
        <v>1500</v>
      </c>
      <c r="K1532" s="42">
        <v>20.5</v>
      </c>
      <c r="L1532" s="43"/>
      <c r="M1532" s="43">
        <f>L1532*K1532</f>
        <v>0</v>
      </c>
      <c r="N1532" s="35">
        <v>4690368007955</v>
      </c>
    </row>
    <row r="1533" spans="1:14" ht="24" customHeight="1" outlineLevel="3" x14ac:dyDescent="0.2">
      <c r="A1533" s="45">
        <v>15884</v>
      </c>
      <c r="B1533" s="37" t="str">
        <f>HYPERLINK("http://sedek.ru/upload/iblock/4a9/redka_detskiy_son.jpg","фото")</f>
        <v>фото</v>
      </c>
      <c r="C1533" s="38"/>
      <c r="D1533" s="38"/>
      <c r="E1533" s="39"/>
      <c r="F1533" s="39" t="s">
        <v>1872</v>
      </c>
      <c r="G1533" s="40">
        <v>1</v>
      </c>
      <c r="H1533" s="39" t="s">
        <v>101</v>
      </c>
      <c r="I1533" s="39" t="s">
        <v>287</v>
      </c>
      <c r="J1533" s="41">
        <v>1500</v>
      </c>
      <c r="K1533" s="42">
        <v>8.9</v>
      </c>
      <c r="L1533" s="43"/>
      <c r="M1533" s="43">
        <f>L1533*K1533</f>
        <v>0</v>
      </c>
      <c r="N1533" s="35">
        <v>4690368010184</v>
      </c>
    </row>
    <row r="1534" spans="1:14" ht="36" customHeight="1" outlineLevel="3" x14ac:dyDescent="0.2">
      <c r="A1534" s="46">
        <v>15936</v>
      </c>
      <c r="B1534" s="47" t="str">
        <f>HYPERLINK("http://sedek.ru/upload/iblock/ff9/redka_zavtrak_gurmana_loba.jpg","фото")</f>
        <v>фото</v>
      </c>
      <c r="C1534" s="48"/>
      <c r="D1534" s="48"/>
      <c r="E1534" s="49"/>
      <c r="F1534" s="49" t="s">
        <v>1873</v>
      </c>
      <c r="G1534" s="50">
        <v>1</v>
      </c>
      <c r="H1534" s="49" t="s">
        <v>101</v>
      </c>
      <c r="I1534" s="49" t="s">
        <v>102</v>
      </c>
      <c r="J1534" s="51">
        <v>1500</v>
      </c>
      <c r="K1534" s="52">
        <v>19.5</v>
      </c>
      <c r="L1534" s="53"/>
      <c r="M1534" s="53">
        <f>L1534*K1534</f>
        <v>0</v>
      </c>
      <c r="N1534" s="35">
        <v>4690368016001</v>
      </c>
    </row>
    <row r="1535" spans="1:14" ht="36" customHeight="1" outlineLevel="3" x14ac:dyDescent="0.2">
      <c r="A1535" s="71">
        <v>15936</v>
      </c>
      <c r="B1535" s="72" t="str">
        <f>HYPERLINK("http://sedek.ru/upload/iblock/ff9/redka_zavtrak_gurmana_loba.jpg","фото")</f>
        <v>фото</v>
      </c>
      <c r="C1535" s="73"/>
      <c r="D1535" s="73"/>
      <c r="E1535" s="74"/>
      <c r="F1535" s="74" t="s">
        <v>1874</v>
      </c>
      <c r="G1535" s="75">
        <v>1</v>
      </c>
      <c r="H1535" s="74" t="s">
        <v>101</v>
      </c>
      <c r="I1535" s="74" t="s">
        <v>287</v>
      </c>
      <c r="J1535" s="76">
        <v>1500</v>
      </c>
      <c r="K1535" s="77">
        <v>9.4</v>
      </c>
      <c r="L1535" s="78"/>
      <c r="M1535" s="78">
        <f>L1535*K1535</f>
        <v>0</v>
      </c>
      <c r="N1535" s="79">
        <v>4690368019798</v>
      </c>
    </row>
    <row r="1536" spans="1:14" ht="24" customHeight="1" outlineLevel="3" x14ac:dyDescent="0.2">
      <c r="A1536" s="45">
        <v>14335</v>
      </c>
      <c r="B1536" s="37" t="str">
        <f>HYPERLINK("http://www.sedek.ru/upload/iblock/4e2/redka_zimnyaya_kruglaya_chernaya.jpg","фото")</f>
        <v>фото</v>
      </c>
      <c r="C1536" s="38"/>
      <c r="D1536" s="38"/>
      <c r="E1536" s="39"/>
      <c r="F1536" s="39" t="s">
        <v>1875</v>
      </c>
      <c r="G1536" s="40">
        <v>1</v>
      </c>
      <c r="H1536" s="39" t="s">
        <v>101</v>
      </c>
      <c r="I1536" s="39" t="s">
        <v>102</v>
      </c>
      <c r="J1536" s="41">
        <v>1500</v>
      </c>
      <c r="K1536" s="42">
        <v>17.2</v>
      </c>
      <c r="L1536" s="43"/>
      <c r="M1536" s="43">
        <f>L1536*K1536</f>
        <v>0</v>
      </c>
      <c r="N1536" s="35">
        <v>4607015189360</v>
      </c>
    </row>
    <row r="1537" spans="1:14" ht="24" customHeight="1" outlineLevel="3" x14ac:dyDescent="0.2">
      <c r="A1537" s="45">
        <v>14335</v>
      </c>
      <c r="B1537" s="37" t="str">
        <f>HYPERLINK("http://www.sedek.ru/upload/iblock/4e2/redka_zimnyaya_kruglaya_chernaya.jpg","фото")</f>
        <v>фото</v>
      </c>
      <c r="C1537" s="38"/>
      <c r="D1537" s="38"/>
      <c r="E1537" s="39"/>
      <c r="F1537" s="39" t="s">
        <v>1876</v>
      </c>
      <c r="G1537" s="40">
        <v>1</v>
      </c>
      <c r="H1537" s="39" t="s">
        <v>101</v>
      </c>
      <c r="I1537" s="39" t="s">
        <v>287</v>
      </c>
      <c r="J1537" s="41">
        <v>1500</v>
      </c>
      <c r="K1537" s="42">
        <v>6.5</v>
      </c>
      <c r="L1537" s="43"/>
      <c r="M1537" s="43">
        <f>L1537*K1537</f>
        <v>0</v>
      </c>
      <c r="N1537" s="35">
        <v>4607149408481</v>
      </c>
    </row>
    <row r="1538" spans="1:14" ht="36" customHeight="1" outlineLevel="3" x14ac:dyDescent="0.2">
      <c r="A1538" s="45">
        <v>15715</v>
      </c>
      <c r="B1538" s="37" t="str">
        <f>HYPERLINK("http://sedek.ru/upload/iblock/d42/redka_zimnyaya_chernaya_dlinnaya.jpg","фото")</f>
        <v>фото</v>
      </c>
      <c r="C1538" s="38"/>
      <c r="D1538" s="38"/>
      <c r="E1538" s="39"/>
      <c r="F1538" s="39" t="s">
        <v>1877</v>
      </c>
      <c r="G1538" s="40">
        <v>1</v>
      </c>
      <c r="H1538" s="39" t="s">
        <v>101</v>
      </c>
      <c r="I1538" s="39" t="s">
        <v>102</v>
      </c>
      <c r="J1538" s="41">
        <v>1500</v>
      </c>
      <c r="K1538" s="42">
        <v>15.6</v>
      </c>
      <c r="L1538" s="43"/>
      <c r="M1538" s="43">
        <f>L1538*K1538</f>
        <v>0</v>
      </c>
      <c r="N1538" s="35">
        <v>4607015189339</v>
      </c>
    </row>
    <row r="1539" spans="1:14" ht="36" customHeight="1" outlineLevel="3" x14ac:dyDescent="0.2">
      <c r="A1539" s="45">
        <v>15715</v>
      </c>
      <c r="B1539" s="37" t="str">
        <f>HYPERLINK("http://sedek.ru/upload/iblock/d42/redka_zimnyaya_chernaya_dlinnaya.jpg","фото")</f>
        <v>фото</v>
      </c>
      <c r="C1539" s="38"/>
      <c r="D1539" s="38"/>
      <c r="E1539" s="39"/>
      <c r="F1539" s="39" t="s">
        <v>1878</v>
      </c>
      <c r="G1539" s="40">
        <v>1</v>
      </c>
      <c r="H1539" s="39" t="s">
        <v>101</v>
      </c>
      <c r="I1539" s="39" t="s">
        <v>287</v>
      </c>
      <c r="J1539" s="41">
        <v>1500</v>
      </c>
      <c r="K1539" s="42">
        <v>8.5</v>
      </c>
      <c r="L1539" s="43"/>
      <c r="M1539" s="43">
        <f>L1539*K1539</f>
        <v>0</v>
      </c>
      <c r="N1539" s="35">
        <v>4607149402991</v>
      </c>
    </row>
    <row r="1540" spans="1:14" ht="24" customHeight="1" outlineLevel="3" x14ac:dyDescent="0.2">
      <c r="A1540" s="45">
        <v>13486</v>
      </c>
      <c r="B1540" s="37" t="str">
        <f>HYPERLINK("http://sedek.ru/upload/iblock/416/redka_mayskaya.jpg","фото")</f>
        <v>фото</v>
      </c>
      <c r="C1540" s="38"/>
      <c r="D1540" s="38"/>
      <c r="E1540" s="39"/>
      <c r="F1540" s="39" t="s">
        <v>1879</v>
      </c>
      <c r="G1540" s="40">
        <v>1</v>
      </c>
      <c r="H1540" s="39" t="s">
        <v>101</v>
      </c>
      <c r="I1540" s="39" t="s">
        <v>102</v>
      </c>
      <c r="J1540" s="41">
        <v>1500</v>
      </c>
      <c r="K1540" s="42">
        <v>20.5</v>
      </c>
      <c r="L1540" s="43"/>
      <c r="M1540" s="43">
        <f>L1540*K1540</f>
        <v>0</v>
      </c>
      <c r="N1540" s="35">
        <v>4607149404896</v>
      </c>
    </row>
    <row r="1541" spans="1:14" ht="24" customHeight="1" outlineLevel="3" x14ac:dyDescent="0.2">
      <c r="A1541" s="45">
        <v>13486</v>
      </c>
      <c r="B1541" s="37" t="str">
        <f>HYPERLINK("http://sedek.ru/upload/iblock/416/redka_mayskaya.jpg","фото")</f>
        <v>фото</v>
      </c>
      <c r="C1541" s="38"/>
      <c r="D1541" s="38"/>
      <c r="E1541" s="39"/>
      <c r="F1541" s="39" t="s">
        <v>1880</v>
      </c>
      <c r="G1541" s="40">
        <v>1</v>
      </c>
      <c r="H1541" s="39" t="s">
        <v>101</v>
      </c>
      <c r="I1541" s="39" t="s">
        <v>287</v>
      </c>
      <c r="J1541" s="41">
        <v>1500</v>
      </c>
      <c r="K1541" s="42">
        <v>8.9</v>
      </c>
      <c r="L1541" s="43"/>
      <c r="M1541" s="43">
        <f>L1541*K1541</f>
        <v>0</v>
      </c>
      <c r="N1541" s="35">
        <v>4607149405770</v>
      </c>
    </row>
    <row r="1542" spans="1:14" ht="24" customHeight="1" outlineLevel="3" x14ac:dyDescent="0.2">
      <c r="A1542" s="45">
        <v>15723</v>
      </c>
      <c r="B1542" s="37" t="str">
        <f>HYPERLINK("http://sedek.ru/upload/iblock/a6b/redka_margelanskaya.jpg","фото")</f>
        <v>фото</v>
      </c>
      <c r="C1542" s="38"/>
      <c r="D1542" s="38"/>
      <c r="E1542" s="39"/>
      <c r="F1542" s="39" t="s">
        <v>1881</v>
      </c>
      <c r="G1542" s="40">
        <v>1</v>
      </c>
      <c r="H1542" s="39" t="s">
        <v>101</v>
      </c>
      <c r="I1542" s="39" t="s">
        <v>102</v>
      </c>
      <c r="J1542" s="41">
        <v>1500</v>
      </c>
      <c r="K1542" s="42">
        <v>16.899999999999999</v>
      </c>
      <c r="L1542" s="43"/>
      <c r="M1542" s="43">
        <f>L1542*K1542</f>
        <v>0</v>
      </c>
      <c r="N1542" s="35">
        <v>4607116267929</v>
      </c>
    </row>
    <row r="1543" spans="1:14" ht="24" customHeight="1" outlineLevel="3" x14ac:dyDescent="0.2">
      <c r="A1543" s="45">
        <v>15723</v>
      </c>
      <c r="B1543" s="37" t="str">
        <f>HYPERLINK("http://sedek.ru/upload/iblock/a6b/redka_margelanskaya.jpg","фото")</f>
        <v>фото</v>
      </c>
      <c r="C1543" s="38"/>
      <c r="D1543" s="38"/>
      <c r="E1543" s="39"/>
      <c r="F1543" s="39" t="s">
        <v>1882</v>
      </c>
      <c r="G1543" s="40">
        <v>1</v>
      </c>
      <c r="H1543" s="39" t="s">
        <v>101</v>
      </c>
      <c r="I1543" s="39" t="s">
        <v>287</v>
      </c>
      <c r="J1543" s="41">
        <v>1500</v>
      </c>
      <c r="K1543" s="42">
        <v>7</v>
      </c>
      <c r="L1543" s="43"/>
      <c r="M1543" s="43">
        <f>L1543*K1543</f>
        <v>0</v>
      </c>
      <c r="N1543" s="35">
        <v>4690368000192</v>
      </c>
    </row>
    <row r="1544" spans="1:14" ht="24" customHeight="1" outlineLevel="3" x14ac:dyDescent="0.2">
      <c r="A1544" s="45">
        <v>15801</v>
      </c>
      <c r="B1544" s="37" t="str">
        <f>HYPERLINK("http://www.sedek.ru/upload/iblock/228/redka_myunkhen_bir.jpg","фото")</f>
        <v>фото</v>
      </c>
      <c r="C1544" s="38"/>
      <c r="D1544" s="38" t="s">
        <v>266</v>
      </c>
      <c r="E1544" s="39"/>
      <c r="F1544" s="39" t="s">
        <v>1883</v>
      </c>
      <c r="G1544" s="40">
        <v>2</v>
      </c>
      <c r="H1544" s="39" t="s">
        <v>101</v>
      </c>
      <c r="I1544" s="39" t="s">
        <v>102</v>
      </c>
      <c r="J1544" s="41">
        <v>1500</v>
      </c>
      <c r="K1544" s="42">
        <v>20</v>
      </c>
      <c r="L1544" s="43"/>
      <c r="M1544" s="43">
        <f>L1544*K1544</f>
        <v>0</v>
      </c>
      <c r="N1544" s="35">
        <v>4607149406302</v>
      </c>
    </row>
    <row r="1545" spans="1:14" ht="24" customHeight="1" outlineLevel="3" x14ac:dyDescent="0.2">
      <c r="A1545" s="45">
        <v>15801</v>
      </c>
      <c r="B1545" s="37" t="str">
        <f>HYPERLINK("http://www.sedek.ru/upload/iblock/228/redka_myunkhen_bir.jpg","фото")</f>
        <v>фото</v>
      </c>
      <c r="C1545" s="38"/>
      <c r="D1545" s="38" t="s">
        <v>266</v>
      </c>
      <c r="E1545" s="39"/>
      <c r="F1545" s="39" t="s">
        <v>1884</v>
      </c>
      <c r="G1545" s="40">
        <v>2</v>
      </c>
      <c r="H1545" s="39" t="s">
        <v>101</v>
      </c>
      <c r="I1545" s="39" t="s">
        <v>287</v>
      </c>
      <c r="J1545" s="41">
        <v>1500</v>
      </c>
      <c r="K1545" s="42">
        <v>8</v>
      </c>
      <c r="L1545" s="43"/>
      <c r="M1545" s="43">
        <f>L1545*K1545</f>
        <v>0</v>
      </c>
      <c r="N1545" s="35">
        <v>4607149402984</v>
      </c>
    </row>
    <row r="1546" spans="1:14" ht="24" customHeight="1" outlineLevel="3" x14ac:dyDescent="0.2">
      <c r="A1546" s="45">
        <v>16283</v>
      </c>
      <c r="B1546" s="37" t="str">
        <f>HYPERLINK("http://sedek.ru/upload/iblock/882/redka_myunkhenskaya_pivnaya.jpg","фото")</f>
        <v>фото</v>
      </c>
      <c r="C1546" s="38"/>
      <c r="D1546" s="38"/>
      <c r="E1546" s="39"/>
      <c r="F1546" s="39" t="s">
        <v>1885</v>
      </c>
      <c r="G1546" s="40">
        <v>2</v>
      </c>
      <c r="H1546" s="39" t="s">
        <v>101</v>
      </c>
      <c r="I1546" s="39" t="s">
        <v>102</v>
      </c>
      <c r="J1546" s="41">
        <v>1500</v>
      </c>
      <c r="K1546" s="42">
        <v>20</v>
      </c>
      <c r="L1546" s="43"/>
      <c r="M1546" s="43">
        <f>L1546*K1546</f>
        <v>0</v>
      </c>
      <c r="N1546" s="35">
        <v>4607015189346</v>
      </c>
    </row>
    <row r="1547" spans="1:14" ht="24" customHeight="1" outlineLevel="3" x14ac:dyDescent="0.2">
      <c r="A1547" s="45">
        <v>16508</v>
      </c>
      <c r="B1547" s="37" t="str">
        <f>HYPERLINK("http://sedek.ru/upload/iblock/1c8/redka_negrityanka.jpg","фото")</f>
        <v>фото</v>
      </c>
      <c r="C1547" s="38"/>
      <c r="D1547" s="38"/>
      <c r="E1547" s="39"/>
      <c r="F1547" s="39" t="s">
        <v>1886</v>
      </c>
      <c r="G1547" s="40">
        <v>1</v>
      </c>
      <c r="H1547" s="39" t="s">
        <v>101</v>
      </c>
      <c r="I1547" s="39" t="s">
        <v>102</v>
      </c>
      <c r="J1547" s="41">
        <v>1500</v>
      </c>
      <c r="K1547" s="42">
        <v>20</v>
      </c>
      <c r="L1547" s="43"/>
      <c r="M1547" s="43">
        <f>L1547*K1547</f>
        <v>0</v>
      </c>
      <c r="N1547" s="35">
        <v>4607015189353</v>
      </c>
    </row>
    <row r="1548" spans="1:14" ht="36" customHeight="1" outlineLevel="3" x14ac:dyDescent="0.2">
      <c r="A1548" s="45">
        <v>14275</v>
      </c>
      <c r="B1548" s="37" t="str">
        <f>HYPERLINK("http://www.sedek.ru/upload/iblock/734/redka_start_f1.jpg","фото")</f>
        <v>фото</v>
      </c>
      <c r="C1548" s="38"/>
      <c r="D1548" s="38"/>
      <c r="E1548" s="39"/>
      <c r="F1548" s="39" t="s">
        <v>1887</v>
      </c>
      <c r="G1548" s="40">
        <v>1</v>
      </c>
      <c r="H1548" s="39" t="s">
        <v>101</v>
      </c>
      <c r="I1548" s="39" t="s">
        <v>102</v>
      </c>
      <c r="J1548" s="41">
        <v>1500</v>
      </c>
      <c r="K1548" s="42">
        <v>21.9</v>
      </c>
      <c r="L1548" s="43"/>
      <c r="M1548" s="43">
        <f>L1548*K1548</f>
        <v>0</v>
      </c>
      <c r="N1548" s="35">
        <v>4607015189308</v>
      </c>
    </row>
    <row r="1549" spans="1:14" ht="36" customHeight="1" outlineLevel="3" x14ac:dyDescent="0.2">
      <c r="A1549" s="45">
        <v>14275</v>
      </c>
      <c r="B1549" s="37" t="str">
        <f>HYPERLINK("http://www.sedek.ru/upload/iblock/734/redka_start_f1.jpg","фото")</f>
        <v>фото</v>
      </c>
      <c r="C1549" s="38"/>
      <c r="D1549" s="38"/>
      <c r="E1549" s="39"/>
      <c r="F1549" s="39" t="s">
        <v>1888</v>
      </c>
      <c r="G1549" s="40">
        <v>1</v>
      </c>
      <c r="H1549" s="39" t="s">
        <v>101</v>
      </c>
      <c r="I1549" s="39" t="s">
        <v>287</v>
      </c>
      <c r="J1549" s="41">
        <v>1500</v>
      </c>
      <c r="K1549" s="42">
        <v>10.3</v>
      </c>
      <c r="L1549" s="43"/>
      <c r="M1549" s="43">
        <f>L1549*K1549</f>
        <v>0</v>
      </c>
      <c r="N1549" s="35">
        <v>4607149405787</v>
      </c>
    </row>
    <row r="1550" spans="1:14" ht="24" customHeight="1" outlineLevel="3" x14ac:dyDescent="0.2">
      <c r="A1550" s="45">
        <v>16985</v>
      </c>
      <c r="B1550" s="37" t="str">
        <f>HYPERLINK("http://sedek.ru/upload/iblock/c08/redka_udacha_f1_kitayskaya_loba.jpg","фото")</f>
        <v>фото</v>
      </c>
      <c r="C1550" s="38"/>
      <c r="D1550" s="38"/>
      <c r="E1550" s="39"/>
      <c r="F1550" s="39" t="s">
        <v>1889</v>
      </c>
      <c r="G1550" s="40">
        <v>1</v>
      </c>
      <c r="H1550" s="39" t="s">
        <v>101</v>
      </c>
      <c r="I1550" s="39" t="s">
        <v>102</v>
      </c>
      <c r="J1550" s="41">
        <v>1500</v>
      </c>
      <c r="K1550" s="42">
        <v>23.8</v>
      </c>
      <c r="L1550" s="43"/>
      <c r="M1550" s="43">
        <f>L1550*K1550</f>
        <v>0</v>
      </c>
      <c r="N1550" s="35">
        <v>4690368023979</v>
      </c>
    </row>
    <row r="1551" spans="1:14" ht="36" customHeight="1" outlineLevel="3" x14ac:dyDescent="0.2">
      <c r="A1551" s="36" t="s">
        <v>1890</v>
      </c>
      <c r="B1551" s="37" t="str">
        <f>HYPERLINK("http://www.sedek.ru/upload/iblock/2ef/redka_kitayskaya_loba_kharbin.jpg","фото")</f>
        <v>фото</v>
      </c>
      <c r="C1551" s="38"/>
      <c r="D1551" s="38"/>
      <c r="E1551" s="39"/>
      <c r="F1551" s="39" t="s">
        <v>1891</v>
      </c>
      <c r="G1551" s="40">
        <v>1</v>
      </c>
      <c r="H1551" s="39" t="s">
        <v>101</v>
      </c>
      <c r="I1551" s="39" t="s">
        <v>102</v>
      </c>
      <c r="J1551" s="41">
        <v>1500</v>
      </c>
      <c r="K1551" s="42">
        <v>22.7</v>
      </c>
      <c r="L1551" s="43"/>
      <c r="M1551" s="43">
        <f>L1551*K1551</f>
        <v>0</v>
      </c>
      <c r="N1551" s="35">
        <v>4690368032780</v>
      </c>
    </row>
    <row r="1552" spans="1:14" ht="24" customHeight="1" outlineLevel="3" x14ac:dyDescent="0.2">
      <c r="A1552" s="36" t="s">
        <v>1892</v>
      </c>
      <c r="B1552" s="37" t="str">
        <f>HYPERLINK("http://www.sedek.ru/upload/iblock/787/redka_chernavka.jpg","Фото")</f>
        <v>Фото</v>
      </c>
      <c r="C1552" s="38"/>
      <c r="D1552" s="38" t="s">
        <v>266</v>
      </c>
      <c r="E1552" s="39"/>
      <c r="F1552" s="39" t="s">
        <v>1893</v>
      </c>
      <c r="G1552" s="40">
        <v>1</v>
      </c>
      <c r="H1552" s="39" t="s">
        <v>101</v>
      </c>
      <c r="I1552" s="39" t="s">
        <v>102</v>
      </c>
      <c r="J1552" s="41">
        <v>1500</v>
      </c>
      <c r="K1552" s="42">
        <v>20</v>
      </c>
      <c r="L1552" s="43"/>
      <c r="M1552" s="43">
        <f>L1552*K1552</f>
        <v>0</v>
      </c>
      <c r="N1552" s="35">
        <v>4690368030472</v>
      </c>
    </row>
    <row r="1553" spans="1:14" ht="36" customHeight="1" outlineLevel="3" x14ac:dyDescent="0.2">
      <c r="A1553" s="36" t="s">
        <v>1894</v>
      </c>
      <c r="B1553" s="37" t="str">
        <f>HYPERLINK("http://www.sedek.ru/upload/iblock/810/redka_chernaya_zimnyaya.jpg","фото")</f>
        <v>фото</v>
      </c>
      <c r="C1553" s="38"/>
      <c r="D1553" s="38"/>
      <c r="E1553" s="39"/>
      <c r="F1553" s="39" t="s">
        <v>1895</v>
      </c>
      <c r="G1553" s="40">
        <v>2</v>
      </c>
      <c r="H1553" s="39" t="s">
        <v>101</v>
      </c>
      <c r="I1553" s="39" t="s">
        <v>102</v>
      </c>
      <c r="J1553" s="41">
        <v>1500</v>
      </c>
      <c r="K1553" s="42">
        <v>16.899999999999999</v>
      </c>
      <c r="L1553" s="43"/>
      <c r="M1553" s="43">
        <f>L1553*K1553</f>
        <v>0</v>
      </c>
      <c r="N1553" s="35">
        <v>4690368030489</v>
      </c>
    </row>
    <row r="1554" spans="1:14" ht="24" customHeight="1" outlineLevel="3" x14ac:dyDescent="0.2">
      <c r="A1554" s="45">
        <v>15727</v>
      </c>
      <c r="B1554" s="37" t="str">
        <f>HYPERLINK("http://www.sedek.ru/upload/iblock/0ca/redka_esmeralda.jpg","фото")</f>
        <v>фото</v>
      </c>
      <c r="C1554" s="38"/>
      <c r="D1554" s="38" t="s">
        <v>266</v>
      </c>
      <c r="E1554" s="39"/>
      <c r="F1554" s="39" t="s">
        <v>1896</v>
      </c>
      <c r="G1554" s="40">
        <v>1</v>
      </c>
      <c r="H1554" s="39" t="s">
        <v>101</v>
      </c>
      <c r="I1554" s="39" t="s">
        <v>102</v>
      </c>
      <c r="J1554" s="41">
        <v>1500</v>
      </c>
      <c r="K1554" s="42">
        <v>20</v>
      </c>
      <c r="L1554" s="43"/>
      <c r="M1554" s="43">
        <f>L1554*K1554</f>
        <v>0</v>
      </c>
      <c r="N1554" s="35">
        <v>4607015189315</v>
      </c>
    </row>
    <row r="1555" spans="1:14" ht="24" customHeight="1" outlineLevel="3" x14ac:dyDescent="0.2">
      <c r="A1555" s="45">
        <v>15727</v>
      </c>
      <c r="B1555" s="37" t="str">
        <f>HYPERLINK("http://www.sedek.ru/upload/iblock/0ca/redka_esmeralda.jpg","фото")</f>
        <v>фото</v>
      </c>
      <c r="C1555" s="38"/>
      <c r="D1555" s="38" t="s">
        <v>266</v>
      </c>
      <c r="E1555" s="39"/>
      <c r="F1555" s="39" t="s">
        <v>1897</v>
      </c>
      <c r="G1555" s="40">
        <v>1</v>
      </c>
      <c r="H1555" s="39" t="s">
        <v>101</v>
      </c>
      <c r="I1555" s="39" t="s">
        <v>287</v>
      </c>
      <c r="J1555" s="41">
        <v>1500</v>
      </c>
      <c r="K1555" s="42">
        <v>8</v>
      </c>
      <c r="L1555" s="43"/>
      <c r="M1555" s="43">
        <f>L1555*K1555</f>
        <v>0</v>
      </c>
      <c r="N1555" s="35">
        <v>4607149405794</v>
      </c>
    </row>
    <row r="1556" spans="1:14" ht="12" customHeight="1" outlineLevel="2" x14ac:dyDescent="0.2">
      <c r="A1556" s="22"/>
      <c r="B1556" s="23"/>
      <c r="C1556" s="23"/>
      <c r="D1556" s="23"/>
      <c r="E1556" s="24"/>
      <c r="F1556" s="24" t="s">
        <v>1898</v>
      </c>
      <c r="G1556" s="24"/>
      <c r="H1556" s="24"/>
      <c r="I1556" s="24"/>
      <c r="J1556" s="24"/>
      <c r="K1556" s="24"/>
      <c r="L1556" s="24"/>
      <c r="M1556" s="24"/>
      <c r="N1556" s="25"/>
    </row>
    <row r="1557" spans="1:14" ht="24" customHeight="1" outlineLevel="3" x14ac:dyDescent="0.2">
      <c r="A1557" s="36" t="s">
        <v>1899</v>
      </c>
      <c r="B1557" s="37" t="str">
        <f>HYPERLINK("http://www.sedek.ru/upload/iblock/b3c/repa_azhur.jpg","фото")</f>
        <v>фото</v>
      </c>
      <c r="C1557" s="38"/>
      <c r="D1557" s="38" t="s">
        <v>266</v>
      </c>
      <c r="E1557" s="39" t="s">
        <v>263</v>
      </c>
      <c r="F1557" s="39" t="s">
        <v>1900</v>
      </c>
      <c r="G1557" s="40">
        <v>1</v>
      </c>
      <c r="H1557" s="39" t="s">
        <v>101</v>
      </c>
      <c r="I1557" s="39" t="s">
        <v>102</v>
      </c>
      <c r="J1557" s="41">
        <v>1500</v>
      </c>
      <c r="K1557" s="42">
        <v>19.3</v>
      </c>
      <c r="L1557" s="43"/>
      <c r="M1557" s="43">
        <f>L1557*K1557</f>
        <v>0</v>
      </c>
      <c r="N1557" s="35">
        <v>4690368035163</v>
      </c>
    </row>
    <row r="1558" spans="1:14" ht="24" customHeight="1" outlineLevel="3" x14ac:dyDescent="0.2">
      <c r="A1558" s="45">
        <v>14479</v>
      </c>
      <c r="B1558" s="37" t="str">
        <f>HYPERLINK("http://sedek.ru/upload/iblock/c5e/repa_detskaya_mechta.jpg","фото")</f>
        <v>фото</v>
      </c>
      <c r="C1558" s="38"/>
      <c r="D1558" s="38"/>
      <c r="E1558" s="39"/>
      <c r="F1558" s="39" t="s">
        <v>1901</v>
      </c>
      <c r="G1558" s="40">
        <v>1</v>
      </c>
      <c r="H1558" s="39" t="s">
        <v>101</v>
      </c>
      <c r="I1558" s="39" t="s">
        <v>102</v>
      </c>
      <c r="J1558" s="41">
        <v>1500</v>
      </c>
      <c r="K1558" s="42">
        <v>20.5</v>
      </c>
      <c r="L1558" s="43"/>
      <c r="M1558" s="43">
        <f>L1558*K1558</f>
        <v>0</v>
      </c>
      <c r="N1558" s="35">
        <v>4607149403509</v>
      </c>
    </row>
    <row r="1559" spans="1:14" ht="24" customHeight="1" outlineLevel="3" x14ac:dyDescent="0.2">
      <c r="A1559" s="45">
        <v>14479</v>
      </c>
      <c r="B1559" s="37" t="str">
        <f>HYPERLINK("http://sedek.ru/upload/iblock/c5e/repa_detskaya_mechta.jpg","фото")</f>
        <v>фото</v>
      </c>
      <c r="C1559" s="38"/>
      <c r="D1559" s="38"/>
      <c r="E1559" s="39"/>
      <c r="F1559" s="39" t="s">
        <v>1902</v>
      </c>
      <c r="G1559" s="40">
        <v>1</v>
      </c>
      <c r="H1559" s="39" t="s">
        <v>101</v>
      </c>
      <c r="I1559" s="39" t="s">
        <v>287</v>
      </c>
      <c r="J1559" s="41">
        <v>1500</v>
      </c>
      <c r="K1559" s="42">
        <v>7.3</v>
      </c>
      <c r="L1559" s="43"/>
      <c r="M1559" s="43">
        <f>L1559*K1559</f>
        <v>0</v>
      </c>
      <c r="N1559" s="35">
        <v>4690368001120</v>
      </c>
    </row>
    <row r="1560" spans="1:14" ht="24" customHeight="1" outlineLevel="3" x14ac:dyDescent="0.2">
      <c r="A1560" s="45">
        <v>14748</v>
      </c>
      <c r="B1560" s="37" t="str">
        <f>HYPERLINK("http://www.sedek.ru/upload/iblock/194/repa_zolotoy_shar.jpg","фото")</f>
        <v>фото</v>
      </c>
      <c r="C1560" s="38"/>
      <c r="D1560" s="38"/>
      <c r="E1560" s="39"/>
      <c r="F1560" s="39" t="s">
        <v>1903</v>
      </c>
      <c r="G1560" s="40">
        <v>1</v>
      </c>
      <c r="H1560" s="39" t="s">
        <v>101</v>
      </c>
      <c r="I1560" s="39" t="s">
        <v>102</v>
      </c>
      <c r="J1560" s="41">
        <v>1500</v>
      </c>
      <c r="K1560" s="42">
        <v>19.3</v>
      </c>
      <c r="L1560" s="43"/>
      <c r="M1560" s="43">
        <f>L1560*K1560</f>
        <v>0</v>
      </c>
      <c r="N1560" s="35">
        <v>4607149400027</v>
      </c>
    </row>
    <row r="1561" spans="1:14" ht="24" customHeight="1" outlineLevel="3" x14ac:dyDescent="0.2">
      <c r="A1561" s="45">
        <v>14748</v>
      </c>
      <c r="B1561" s="37" t="str">
        <f>HYPERLINK("http://www.sedek.ru/upload/iblock/194/repa_zolotoy_shar.jpg","фото")</f>
        <v>фото</v>
      </c>
      <c r="C1561" s="38"/>
      <c r="D1561" s="38"/>
      <c r="E1561" s="39"/>
      <c r="F1561" s="39" t="s">
        <v>1904</v>
      </c>
      <c r="G1561" s="40">
        <v>1</v>
      </c>
      <c r="H1561" s="39" t="s">
        <v>101</v>
      </c>
      <c r="I1561" s="39" t="s">
        <v>287</v>
      </c>
      <c r="J1561" s="41">
        <v>1500</v>
      </c>
      <c r="K1561" s="42">
        <v>7</v>
      </c>
      <c r="L1561" s="43"/>
      <c r="M1561" s="43">
        <f>L1561*K1561</f>
        <v>0</v>
      </c>
      <c r="N1561" s="35">
        <v>4690368005272</v>
      </c>
    </row>
    <row r="1562" spans="1:14" ht="24" customHeight="1" outlineLevel="3" x14ac:dyDescent="0.2">
      <c r="A1562" s="45">
        <v>15780</v>
      </c>
      <c r="B1562" s="37" t="str">
        <f>HYPERLINK("http://sedek.ru/upload/iblock/db6/repa_krasnaya_shapochka.jpg","фото")</f>
        <v>фото</v>
      </c>
      <c r="C1562" s="38"/>
      <c r="D1562" s="38"/>
      <c r="E1562" s="39"/>
      <c r="F1562" s="39" t="s">
        <v>1905</v>
      </c>
      <c r="G1562" s="40">
        <v>1</v>
      </c>
      <c r="H1562" s="39" t="s">
        <v>101</v>
      </c>
      <c r="I1562" s="39" t="s">
        <v>102</v>
      </c>
      <c r="J1562" s="41">
        <v>1500</v>
      </c>
      <c r="K1562" s="42">
        <v>20.5</v>
      </c>
      <c r="L1562" s="43"/>
      <c r="M1562" s="43">
        <f>L1562*K1562</f>
        <v>0</v>
      </c>
      <c r="N1562" s="35">
        <v>4690368015370</v>
      </c>
    </row>
    <row r="1563" spans="1:14" ht="24" customHeight="1" outlineLevel="3" x14ac:dyDescent="0.2">
      <c r="A1563" s="45">
        <v>15780</v>
      </c>
      <c r="B1563" s="37" t="str">
        <f>HYPERLINK("http://sedek.ru/upload/iblock/db6/repa_krasnaya_shapochka.jpg","фото")</f>
        <v>фото</v>
      </c>
      <c r="C1563" s="38"/>
      <c r="D1563" s="38"/>
      <c r="E1563" s="39"/>
      <c r="F1563" s="39" t="s">
        <v>1906</v>
      </c>
      <c r="G1563" s="40">
        <v>1</v>
      </c>
      <c r="H1563" s="39" t="s">
        <v>101</v>
      </c>
      <c r="I1563" s="39" t="s">
        <v>287</v>
      </c>
      <c r="J1563" s="41">
        <v>1500</v>
      </c>
      <c r="K1563" s="42">
        <v>6.8</v>
      </c>
      <c r="L1563" s="43"/>
      <c r="M1563" s="43">
        <f>L1563*K1563</f>
        <v>0</v>
      </c>
      <c r="N1563" s="35">
        <v>4690368017244</v>
      </c>
    </row>
    <row r="1564" spans="1:14" ht="24" customHeight="1" outlineLevel="3" x14ac:dyDescent="0.2">
      <c r="A1564" s="45">
        <v>16236</v>
      </c>
      <c r="B1564" s="37" t="str">
        <f>HYPERLINK("http://www.sedek.ru/upload/iblock/6d7/repa_petrovskaya_1.jpg","фото")</f>
        <v>фото</v>
      </c>
      <c r="C1564" s="38"/>
      <c r="D1564" s="38"/>
      <c r="E1564" s="39"/>
      <c r="F1564" s="39" t="s">
        <v>1907</v>
      </c>
      <c r="G1564" s="40">
        <v>1</v>
      </c>
      <c r="H1564" s="39" t="s">
        <v>101</v>
      </c>
      <c r="I1564" s="39" t="s">
        <v>102</v>
      </c>
      <c r="J1564" s="41">
        <v>1500</v>
      </c>
      <c r="K1564" s="42">
        <v>15.6</v>
      </c>
      <c r="L1564" s="43"/>
      <c r="M1564" s="43">
        <f>L1564*K1564</f>
        <v>0</v>
      </c>
      <c r="N1564" s="35">
        <v>4607015189377</v>
      </c>
    </row>
    <row r="1565" spans="1:14" ht="24" customHeight="1" outlineLevel="3" x14ac:dyDescent="0.2">
      <c r="A1565" s="36" t="s">
        <v>1908</v>
      </c>
      <c r="B1565" s="37" t="str">
        <f>HYPERLINK("http://www.sedek.ru/upload/iblock/bb0/repa_piterskaya_noch.jpg","Фото")</f>
        <v>Фото</v>
      </c>
      <c r="C1565" s="38"/>
      <c r="D1565" s="38"/>
      <c r="E1565" s="39"/>
      <c r="F1565" s="39" t="s">
        <v>1909</v>
      </c>
      <c r="G1565" s="40">
        <v>1</v>
      </c>
      <c r="H1565" s="39" t="s">
        <v>101</v>
      </c>
      <c r="I1565" s="39" t="s">
        <v>102</v>
      </c>
      <c r="J1565" s="41">
        <v>1500</v>
      </c>
      <c r="K1565" s="42">
        <v>20.5</v>
      </c>
      <c r="L1565" s="43"/>
      <c r="M1565" s="43">
        <f>L1565*K1565</f>
        <v>0</v>
      </c>
      <c r="N1565" s="35">
        <v>4690368030496</v>
      </c>
    </row>
    <row r="1566" spans="1:14" ht="24" customHeight="1" outlineLevel="3" x14ac:dyDescent="0.2">
      <c r="A1566" s="36" t="s">
        <v>1908</v>
      </c>
      <c r="B1566" s="37" t="str">
        <f>HYPERLINK("http://www.sedek.ru/upload/iblock/bb0/repa_piterskaya_noch.jpg","Фото")</f>
        <v>Фото</v>
      </c>
      <c r="C1566" s="38"/>
      <c r="D1566" s="38"/>
      <c r="E1566" s="39"/>
      <c r="F1566" s="39" t="s">
        <v>1910</v>
      </c>
      <c r="G1566" s="40">
        <v>1</v>
      </c>
      <c r="H1566" s="39" t="s">
        <v>101</v>
      </c>
      <c r="I1566" s="39" t="s">
        <v>287</v>
      </c>
      <c r="J1566" s="41">
        <v>1500</v>
      </c>
      <c r="K1566" s="42">
        <v>7.3</v>
      </c>
      <c r="L1566" s="43"/>
      <c r="M1566" s="43">
        <f>L1566*K1566</f>
        <v>0</v>
      </c>
      <c r="N1566" s="35">
        <v>4690368044011</v>
      </c>
    </row>
    <row r="1567" spans="1:14" ht="24" customHeight="1" outlineLevel="3" x14ac:dyDescent="0.2">
      <c r="A1567" s="45">
        <v>16131</v>
      </c>
      <c r="B1567" s="37" t="str">
        <f>HYPERLINK("http://sedek.ru/upload/iblock/323/repa_purpurnaya_s_belym_konchikom.jpg","фото")</f>
        <v>фото</v>
      </c>
      <c r="C1567" s="38"/>
      <c r="D1567" s="38"/>
      <c r="E1567" s="39"/>
      <c r="F1567" s="39" t="s">
        <v>1911</v>
      </c>
      <c r="G1567" s="40">
        <v>1</v>
      </c>
      <c r="H1567" s="39" t="s">
        <v>101</v>
      </c>
      <c r="I1567" s="39" t="s">
        <v>102</v>
      </c>
      <c r="J1567" s="41">
        <v>1500</v>
      </c>
      <c r="K1567" s="42">
        <v>20.5</v>
      </c>
      <c r="L1567" s="43"/>
      <c r="M1567" s="43">
        <f>L1567*K1567</f>
        <v>0</v>
      </c>
      <c r="N1567" s="35">
        <v>4607015189384</v>
      </c>
    </row>
    <row r="1568" spans="1:14" ht="24" customHeight="1" outlineLevel="3" x14ac:dyDescent="0.2">
      <c r="A1568" s="45">
        <v>16131</v>
      </c>
      <c r="B1568" s="37" t="str">
        <f>HYPERLINK("http://sedek.ru/upload/iblock/323/repa_purpurnaya_s_belym_konchikom.jpg","фото")</f>
        <v>фото</v>
      </c>
      <c r="C1568" s="38"/>
      <c r="D1568" s="38"/>
      <c r="E1568" s="39"/>
      <c r="F1568" s="39" t="s">
        <v>1912</v>
      </c>
      <c r="G1568" s="40">
        <v>1</v>
      </c>
      <c r="H1568" s="39" t="s">
        <v>101</v>
      </c>
      <c r="I1568" s="39" t="s">
        <v>287</v>
      </c>
      <c r="J1568" s="41">
        <v>1500</v>
      </c>
      <c r="K1568" s="42">
        <v>7.3</v>
      </c>
      <c r="L1568" s="43"/>
      <c r="M1568" s="43">
        <f>L1568*K1568</f>
        <v>0</v>
      </c>
      <c r="N1568" s="35">
        <v>4690368005265</v>
      </c>
    </row>
    <row r="1569" spans="1:14" ht="24" customHeight="1" outlineLevel="3" x14ac:dyDescent="0.2">
      <c r="A1569" s="45">
        <v>14577</v>
      </c>
      <c r="B1569" s="37" t="str">
        <f>HYPERLINK("http://sedek.ru/upload/iblock/b7c/repa_rannyaya_purpurnaya.JPG","фото")</f>
        <v>фото</v>
      </c>
      <c r="C1569" s="38"/>
      <c r="D1569" s="38"/>
      <c r="E1569" s="39"/>
      <c r="F1569" s="39" t="s">
        <v>1913</v>
      </c>
      <c r="G1569" s="40">
        <v>1</v>
      </c>
      <c r="H1569" s="39" t="s">
        <v>101</v>
      </c>
      <c r="I1569" s="39" t="s">
        <v>102</v>
      </c>
      <c r="J1569" s="41">
        <v>1500</v>
      </c>
      <c r="K1569" s="42">
        <v>20.5</v>
      </c>
      <c r="L1569" s="43"/>
      <c r="M1569" s="43">
        <f>L1569*K1569</f>
        <v>0</v>
      </c>
      <c r="N1569" s="35">
        <v>4607015189391</v>
      </c>
    </row>
    <row r="1570" spans="1:14" ht="24" customHeight="1" outlineLevel="3" x14ac:dyDescent="0.2">
      <c r="A1570" s="45">
        <v>14577</v>
      </c>
      <c r="B1570" s="37" t="str">
        <f>HYPERLINK("http://sedek.ru/upload/iblock/b7c/repa_rannyaya_purpurnaya.JPG","фото")</f>
        <v>фото</v>
      </c>
      <c r="C1570" s="38"/>
      <c r="D1570" s="38"/>
      <c r="E1570" s="39"/>
      <c r="F1570" s="39" t="s">
        <v>1914</v>
      </c>
      <c r="G1570" s="40">
        <v>1</v>
      </c>
      <c r="H1570" s="39" t="s">
        <v>101</v>
      </c>
      <c r="I1570" s="39" t="s">
        <v>287</v>
      </c>
      <c r="J1570" s="41">
        <v>1500</v>
      </c>
      <c r="K1570" s="42">
        <v>7.3</v>
      </c>
      <c r="L1570" s="43"/>
      <c r="M1570" s="43">
        <f>L1570*K1570</f>
        <v>0</v>
      </c>
      <c r="N1570" s="35">
        <v>4690368005289</v>
      </c>
    </row>
    <row r="1571" spans="1:14" ht="24" customHeight="1" outlineLevel="3" x14ac:dyDescent="0.2">
      <c r="A1571" s="45">
        <v>14266</v>
      </c>
      <c r="B1571" s="37" t="str">
        <f>HYPERLINK("http://sedek.ru/upload/iblock/ee9/repa_snezhnyy_shar.jpg","фото")</f>
        <v>фото</v>
      </c>
      <c r="C1571" s="38"/>
      <c r="D1571" s="38"/>
      <c r="E1571" s="39"/>
      <c r="F1571" s="39" t="s">
        <v>1915</v>
      </c>
      <c r="G1571" s="40">
        <v>1</v>
      </c>
      <c r="H1571" s="39" t="s">
        <v>101</v>
      </c>
      <c r="I1571" s="39" t="s">
        <v>102</v>
      </c>
      <c r="J1571" s="41">
        <v>1500</v>
      </c>
      <c r="K1571" s="42">
        <v>19.3</v>
      </c>
      <c r="L1571" s="43"/>
      <c r="M1571" s="43">
        <f>L1571*K1571</f>
        <v>0</v>
      </c>
      <c r="N1571" s="35">
        <v>4607149406258</v>
      </c>
    </row>
    <row r="1572" spans="1:14" ht="24" customHeight="1" outlineLevel="3" x14ac:dyDescent="0.2">
      <c r="A1572" s="45">
        <v>14266</v>
      </c>
      <c r="B1572" s="37" t="str">
        <f>HYPERLINK("http://sedek.ru/upload/iblock/ee9/repa_snezhnyy_shar.jpg","фото")</f>
        <v>фото</v>
      </c>
      <c r="C1572" s="38"/>
      <c r="D1572" s="38"/>
      <c r="E1572" s="39"/>
      <c r="F1572" s="39" t="s">
        <v>1916</v>
      </c>
      <c r="G1572" s="40">
        <v>1</v>
      </c>
      <c r="H1572" s="39" t="s">
        <v>101</v>
      </c>
      <c r="I1572" s="39" t="s">
        <v>287</v>
      </c>
      <c r="J1572" s="41">
        <v>1500</v>
      </c>
      <c r="K1572" s="42">
        <v>7</v>
      </c>
      <c r="L1572" s="43"/>
      <c r="M1572" s="43">
        <f>L1572*K1572</f>
        <v>0</v>
      </c>
      <c r="N1572" s="35">
        <v>4607149405800</v>
      </c>
    </row>
    <row r="1573" spans="1:14" ht="24" customHeight="1" outlineLevel="3" x14ac:dyDescent="0.2">
      <c r="A1573" s="45">
        <v>16368</v>
      </c>
      <c r="B1573" s="37" t="str">
        <f>HYPERLINK("http://www.sedek.ru/upload/iblock/e14/repa_khrusta.jpg","фото")</f>
        <v>фото</v>
      </c>
      <c r="C1573" s="38"/>
      <c r="D1573" s="38"/>
      <c r="E1573" s="39"/>
      <c r="F1573" s="39" t="s">
        <v>1917</v>
      </c>
      <c r="G1573" s="40">
        <v>1</v>
      </c>
      <c r="H1573" s="39" t="s">
        <v>101</v>
      </c>
      <c r="I1573" s="39" t="s">
        <v>102</v>
      </c>
      <c r="J1573" s="41">
        <v>1500</v>
      </c>
      <c r="K1573" s="42">
        <v>20.5</v>
      </c>
      <c r="L1573" s="43"/>
      <c r="M1573" s="43">
        <f>L1573*K1573</f>
        <v>0</v>
      </c>
      <c r="N1573" s="35">
        <v>4607149403516</v>
      </c>
    </row>
    <row r="1574" spans="1:14" ht="24" customHeight="1" outlineLevel="3" x14ac:dyDescent="0.2">
      <c r="A1574" s="45">
        <v>16368</v>
      </c>
      <c r="B1574" s="37" t="str">
        <f>HYPERLINK("http://www.sedek.ru/upload/iblock/e14/repa_khrusta.jpg","фото")</f>
        <v>фото</v>
      </c>
      <c r="C1574" s="38"/>
      <c r="D1574" s="38"/>
      <c r="E1574" s="39"/>
      <c r="F1574" s="39" t="s">
        <v>1918</v>
      </c>
      <c r="G1574" s="40">
        <v>1</v>
      </c>
      <c r="H1574" s="39" t="s">
        <v>101</v>
      </c>
      <c r="I1574" s="39" t="s">
        <v>287</v>
      </c>
      <c r="J1574" s="41">
        <v>1500</v>
      </c>
      <c r="K1574" s="42">
        <v>7.3</v>
      </c>
      <c r="L1574" s="43"/>
      <c r="M1574" s="43">
        <f>L1574*K1574</f>
        <v>0</v>
      </c>
      <c r="N1574" s="35">
        <v>4690368031004</v>
      </c>
    </row>
    <row r="1575" spans="1:14" ht="12" customHeight="1" outlineLevel="2" x14ac:dyDescent="0.2">
      <c r="A1575" s="22"/>
      <c r="B1575" s="23"/>
      <c r="C1575" s="23"/>
      <c r="D1575" s="23"/>
      <c r="E1575" s="24"/>
      <c r="F1575" s="24" t="s">
        <v>1919</v>
      </c>
      <c r="G1575" s="24"/>
      <c r="H1575" s="24"/>
      <c r="I1575" s="24"/>
      <c r="J1575" s="24"/>
      <c r="K1575" s="24"/>
      <c r="L1575" s="24"/>
      <c r="M1575" s="24"/>
      <c r="N1575" s="25"/>
    </row>
    <row r="1576" spans="1:14" ht="48" customHeight="1" outlineLevel="3" x14ac:dyDescent="0.2">
      <c r="A1576" s="36" t="s">
        <v>1920</v>
      </c>
      <c r="B1576" s="37" t="str">
        <f>HYPERLINK("http://www.sedek.ru/upload/iblock/ff9/rukola_dikaya.jpg","фото")</f>
        <v>фото</v>
      </c>
      <c r="C1576" s="38"/>
      <c r="D1576" s="38"/>
      <c r="E1576" s="39"/>
      <c r="F1576" s="39" t="s">
        <v>1921</v>
      </c>
      <c r="G1576" s="44">
        <v>0.3</v>
      </c>
      <c r="H1576" s="39" t="s">
        <v>101</v>
      </c>
      <c r="I1576" s="39" t="s">
        <v>102</v>
      </c>
      <c r="J1576" s="41">
        <v>3000</v>
      </c>
      <c r="K1576" s="42">
        <v>20.5</v>
      </c>
      <c r="L1576" s="43"/>
      <c r="M1576" s="43">
        <f>L1576*K1576</f>
        <v>0</v>
      </c>
      <c r="N1576" s="35">
        <v>4690368030502</v>
      </c>
    </row>
    <row r="1577" spans="1:14" ht="24" customHeight="1" outlineLevel="3" x14ac:dyDescent="0.2">
      <c r="A1577" s="36" t="s">
        <v>1922</v>
      </c>
      <c r="B1577" s="37" t="str">
        <f>HYPERLINK("http://www.sedek.ru/upload/iblock/ff9/rukola_dikaya.jpg","фото")</f>
        <v>фото</v>
      </c>
      <c r="C1577" s="38" t="s">
        <v>266</v>
      </c>
      <c r="D1577" s="38"/>
      <c r="E1577" s="39"/>
      <c r="F1577" s="39" t="s">
        <v>1923</v>
      </c>
      <c r="G1577" s="44">
        <v>0.3</v>
      </c>
      <c r="H1577" s="39"/>
      <c r="I1577" s="39" t="s">
        <v>102</v>
      </c>
      <c r="J1577" s="41">
        <v>3000</v>
      </c>
      <c r="K1577" s="42">
        <v>20.5</v>
      </c>
      <c r="L1577" s="43"/>
      <c r="M1577" s="43">
        <f>L1577*K1577</f>
        <v>0</v>
      </c>
      <c r="N1577" s="35">
        <v>4690368043168</v>
      </c>
    </row>
    <row r="1578" spans="1:14" ht="36" customHeight="1" outlineLevel="3" x14ac:dyDescent="0.2">
      <c r="A1578" s="36" t="s">
        <v>1924</v>
      </c>
      <c r="B1578" s="37" t="str">
        <f>HYPERLINK("http://www.sedek.ru/upload/iblock/ce5/salat_rukola_kulturnaya.jpg","фото")</f>
        <v>фото</v>
      </c>
      <c r="C1578" s="38"/>
      <c r="D1578" s="38"/>
      <c r="E1578" s="39"/>
      <c r="F1578" s="39" t="s">
        <v>1925</v>
      </c>
      <c r="G1578" s="40">
        <v>1</v>
      </c>
      <c r="H1578" s="39" t="s">
        <v>101</v>
      </c>
      <c r="I1578" s="39" t="s">
        <v>102</v>
      </c>
      <c r="J1578" s="41">
        <v>3000</v>
      </c>
      <c r="K1578" s="42">
        <v>20.5</v>
      </c>
      <c r="L1578" s="43"/>
      <c r="M1578" s="43">
        <f>L1578*K1578</f>
        <v>0</v>
      </c>
      <c r="N1578" s="35">
        <v>4690368030519</v>
      </c>
    </row>
    <row r="1579" spans="1:14" ht="36" customHeight="1" outlineLevel="3" x14ac:dyDescent="0.2">
      <c r="A1579" s="45">
        <v>15167</v>
      </c>
      <c r="B1579" s="37" t="str">
        <f>HYPERLINK("http://www.sedek.ru/upload/iblock/4a1/rukola_aromat.jpg","фото")</f>
        <v>фото</v>
      </c>
      <c r="C1579" s="38"/>
      <c r="D1579" s="38"/>
      <c r="E1579" s="39"/>
      <c r="F1579" s="39" t="s">
        <v>1926</v>
      </c>
      <c r="G1579" s="40">
        <v>1</v>
      </c>
      <c r="H1579" s="39" t="s">
        <v>101</v>
      </c>
      <c r="I1579" s="39" t="s">
        <v>102</v>
      </c>
      <c r="J1579" s="41">
        <v>2500</v>
      </c>
      <c r="K1579" s="42">
        <v>20.5</v>
      </c>
      <c r="L1579" s="43"/>
      <c r="M1579" s="43">
        <f>L1579*K1579</f>
        <v>0</v>
      </c>
      <c r="N1579" s="35">
        <v>4607149401710</v>
      </c>
    </row>
    <row r="1580" spans="1:14" ht="36" customHeight="1" outlineLevel="3" x14ac:dyDescent="0.2">
      <c r="A1580" s="45">
        <v>16400</v>
      </c>
      <c r="B1580" s="37" t="str">
        <f>HYPERLINK("http://www.sedek.ru/upload/iblock/288/rukola_viktoriya.jpg","фото")</f>
        <v>фото</v>
      </c>
      <c r="C1580" s="38"/>
      <c r="D1580" s="38"/>
      <c r="E1580" s="39"/>
      <c r="F1580" s="39" t="s">
        <v>1927</v>
      </c>
      <c r="G1580" s="40">
        <v>1</v>
      </c>
      <c r="H1580" s="39" t="s">
        <v>101</v>
      </c>
      <c r="I1580" s="39" t="s">
        <v>102</v>
      </c>
      <c r="J1580" s="41">
        <v>2500</v>
      </c>
      <c r="K1580" s="42">
        <v>20.5</v>
      </c>
      <c r="L1580" s="43"/>
      <c r="M1580" s="43">
        <f>L1580*K1580</f>
        <v>0</v>
      </c>
      <c r="N1580" s="35">
        <v>4607149401727</v>
      </c>
    </row>
    <row r="1581" spans="1:14" ht="36" customHeight="1" outlineLevel="3" x14ac:dyDescent="0.2">
      <c r="A1581" s="45">
        <v>16400</v>
      </c>
      <c r="B1581" s="37" t="str">
        <f>HYPERLINK("http://www.sedek.ru/upload/iblock/288/rukola_viktoriya.jpg","фото")</f>
        <v>фото</v>
      </c>
      <c r="C1581" s="38"/>
      <c r="D1581" s="38"/>
      <c r="E1581" s="39"/>
      <c r="F1581" s="39" t="s">
        <v>1928</v>
      </c>
      <c r="G1581" s="40">
        <v>1</v>
      </c>
      <c r="H1581" s="39" t="s">
        <v>101</v>
      </c>
      <c r="I1581" s="39" t="s">
        <v>287</v>
      </c>
      <c r="J1581" s="41">
        <v>2500</v>
      </c>
      <c r="K1581" s="42">
        <v>6.8</v>
      </c>
      <c r="L1581" s="43"/>
      <c r="M1581" s="43">
        <f>L1581*K1581</f>
        <v>0</v>
      </c>
      <c r="N1581" s="35">
        <v>4607149405831</v>
      </c>
    </row>
    <row r="1582" spans="1:14" ht="36" customHeight="1" outlineLevel="3" x14ac:dyDescent="0.2">
      <c r="A1582" s="45">
        <v>13937</v>
      </c>
      <c r="B1582" s="37" t="str">
        <f>HYPERLINK("http://sedek.ru/upload/iblock/ee0/eruka_indau_spartak.jpg","фото")</f>
        <v>фото</v>
      </c>
      <c r="C1582" s="38"/>
      <c r="D1582" s="38"/>
      <c r="E1582" s="39"/>
      <c r="F1582" s="39" t="s">
        <v>1929</v>
      </c>
      <c r="G1582" s="44">
        <v>0.3</v>
      </c>
      <c r="H1582" s="39" t="s">
        <v>101</v>
      </c>
      <c r="I1582" s="39" t="s">
        <v>102</v>
      </c>
      <c r="J1582" s="41">
        <v>3000</v>
      </c>
      <c r="K1582" s="42">
        <v>20.5</v>
      </c>
      <c r="L1582" s="43"/>
      <c r="M1582" s="43">
        <f>L1582*K1582</f>
        <v>0</v>
      </c>
      <c r="N1582" s="35">
        <v>4607015188790</v>
      </c>
    </row>
    <row r="1583" spans="1:14" ht="12" customHeight="1" outlineLevel="2" x14ac:dyDescent="0.2">
      <c r="A1583" s="22"/>
      <c r="B1583" s="23"/>
      <c r="C1583" s="23"/>
      <c r="D1583" s="23"/>
      <c r="E1583" s="24"/>
      <c r="F1583" s="24" t="s">
        <v>1930</v>
      </c>
      <c r="G1583" s="24"/>
      <c r="H1583" s="24"/>
      <c r="I1583" s="24"/>
      <c r="J1583" s="24"/>
      <c r="K1583" s="24"/>
      <c r="L1583" s="24"/>
      <c r="M1583" s="24"/>
      <c r="N1583" s="25"/>
    </row>
    <row r="1584" spans="1:14" ht="36" customHeight="1" outlineLevel="3" x14ac:dyDescent="0.2">
      <c r="A1584" s="45">
        <v>14759</v>
      </c>
      <c r="B1584" s="37" t="str">
        <f>HYPERLINK("http://sedek.ru/upload/iblock/03b/salat_avangard.jpg","фото")</f>
        <v>фото</v>
      </c>
      <c r="C1584" s="38"/>
      <c r="D1584" s="38"/>
      <c r="E1584" s="39"/>
      <c r="F1584" s="39" t="s">
        <v>1931</v>
      </c>
      <c r="G1584" s="44">
        <v>0.5</v>
      </c>
      <c r="H1584" s="39" t="s">
        <v>101</v>
      </c>
      <c r="I1584" s="39" t="s">
        <v>102</v>
      </c>
      <c r="J1584" s="41">
        <v>3000</v>
      </c>
      <c r="K1584" s="42">
        <v>20.5</v>
      </c>
      <c r="L1584" s="43"/>
      <c r="M1584" s="43">
        <f>L1584*K1584</f>
        <v>0</v>
      </c>
      <c r="N1584" s="35">
        <v>4607015189407</v>
      </c>
    </row>
    <row r="1585" spans="1:14" ht="36" customHeight="1" outlineLevel="3" x14ac:dyDescent="0.2">
      <c r="A1585" s="36" t="s">
        <v>1932</v>
      </c>
      <c r="B1585" s="37" t="str">
        <f>HYPERLINK("http://sedek.ru/upload/iblock/9a7/f9baqpff7kgozhvbhr1mtusvor0z9225/salat_azhur_listovoy.png","фото")</f>
        <v>фото</v>
      </c>
      <c r="C1585" s="38"/>
      <c r="D1585" s="38"/>
      <c r="E1585" s="39" t="s">
        <v>263</v>
      </c>
      <c r="F1585" s="39" t="s">
        <v>1933</v>
      </c>
      <c r="G1585" s="44">
        <v>0.5</v>
      </c>
      <c r="H1585" s="39"/>
      <c r="I1585" s="39" t="s">
        <v>102</v>
      </c>
      <c r="J1585" s="41">
        <v>3000</v>
      </c>
      <c r="K1585" s="42">
        <v>20.5</v>
      </c>
      <c r="L1585" s="43"/>
      <c r="M1585" s="43">
        <f>L1585*K1585</f>
        <v>0</v>
      </c>
      <c r="N1585" s="35">
        <v>4690368038874</v>
      </c>
    </row>
    <row r="1586" spans="1:14" ht="36" customHeight="1" outlineLevel="3" x14ac:dyDescent="0.2">
      <c r="A1586" s="45">
        <v>13624</v>
      </c>
      <c r="B1586" s="37" t="str">
        <f>HYPERLINK("http://sedek.ru/upload/iblock/c11/salat_aysberg.jpg","фото")</f>
        <v>фото</v>
      </c>
      <c r="C1586" s="38"/>
      <c r="D1586" s="38"/>
      <c r="E1586" s="39"/>
      <c r="F1586" s="39" t="s">
        <v>1934</v>
      </c>
      <c r="G1586" s="44">
        <v>0.5</v>
      </c>
      <c r="H1586" s="39" t="s">
        <v>101</v>
      </c>
      <c r="I1586" s="39" t="s">
        <v>102</v>
      </c>
      <c r="J1586" s="41">
        <v>3000</v>
      </c>
      <c r="K1586" s="42">
        <v>18.8</v>
      </c>
      <c r="L1586" s="43"/>
      <c r="M1586" s="43">
        <f>L1586*K1586</f>
        <v>0</v>
      </c>
      <c r="N1586" s="35">
        <v>4690368005937</v>
      </c>
    </row>
    <row r="1587" spans="1:14" ht="36" customHeight="1" outlineLevel="3" x14ac:dyDescent="0.2">
      <c r="A1587" s="46">
        <v>15891</v>
      </c>
      <c r="B1587" s="47" t="str">
        <f>HYPERLINK("http://sedek.ru/upload/iblock/f01/salat_attraktsion.jpg","фото")</f>
        <v>фото</v>
      </c>
      <c r="C1587" s="48"/>
      <c r="D1587" s="48"/>
      <c r="E1587" s="49"/>
      <c r="F1587" s="49" t="s">
        <v>1935</v>
      </c>
      <c r="G1587" s="50">
        <v>1</v>
      </c>
      <c r="H1587" s="49" t="s">
        <v>101</v>
      </c>
      <c r="I1587" s="49" t="s">
        <v>102</v>
      </c>
      <c r="J1587" s="51">
        <v>2500</v>
      </c>
      <c r="K1587" s="52">
        <v>16.100000000000001</v>
      </c>
      <c r="L1587" s="53"/>
      <c r="M1587" s="53">
        <f>L1587*K1587</f>
        <v>0</v>
      </c>
      <c r="N1587" s="35">
        <v>4607015189414</v>
      </c>
    </row>
    <row r="1588" spans="1:14" ht="36" customHeight="1" outlineLevel="3" x14ac:dyDescent="0.2">
      <c r="A1588" s="45">
        <v>15941</v>
      </c>
      <c r="B1588" s="37" t="str">
        <f>HYPERLINK("http://sedek.ru/upload/iblock/c41/salat_beata.jpg","фото")</f>
        <v>фото</v>
      </c>
      <c r="C1588" s="38"/>
      <c r="D1588" s="38"/>
      <c r="E1588" s="39"/>
      <c r="F1588" s="39" t="s">
        <v>1936</v>
      </c>
      <c r="G1588" s="44">
        <v>0.5</v>
      </c>
      <c r="H1588" s="39" t="s">
        <v>101</v>
      </c>
      <c r="I1588" s="39" t="s">
        <v>102</v>
      </c>
      <c r="J1588" s="41">
        <v>3000</v>
      </c>
      <c r="K1588" s="42">
        <v>20.5</v>
      </c>
      <c r="L1588" s="43"/>
      <c r="M1588" s="43">
        <f>L1588*K1588</f>
        <v>0</v>
      </c>
      <c r="N1588" s="35">
        <v>4607015189421</v>
      </c>
    </row>
    <row r="1589" spans="1:14" ht="36" customHeight="1" outlineLevel="3" x14ac:dyDescent="0.2">
      <c r="A1589" s="45">
        <v>15382</v>
      </c>
      <c r="B1589" s="37" t="str">
        <f>HYPERLINK("http://sedek.ru/upload/iblock/ccc/salat_berlinskiy_zhyeltyy.jpg","фото")</f>
        <v>фото</v>
      </c>
      <c r="C1589" s="38"/>
      <c r="D1589" s="38"/>
      <c r="E1589" s="39"/>
      <c r="F1589" s="39" t="s">
        <v>1937</v>
      </c>
      <c r="G1589" s="40">
        <v>1</v>
      </c>
      <c r="H1589" s="39" t="s">
        <v>101</v>
      </c>
      <c r="I1589" s="39" t="s">
        <v>102</v>
      </c>
      <c r="J1589" s="41">
        <v>2500</v>
      </c>
      <c r="K1589" s="42">
        <v>15.6</v>
      </c>
      <c r="L1589" s="43"/>
      <c r="M1589" s="43">
        <f>L1589*K1589</f>
        <v>0</v>
      </c>
      <c r="N1589" s="35">
        <v>4607149400997</v>
      </c>
    </row>
    <row r="1590" spans="1:14" ht="36" customHeight="1" outlineLevel="3" x14ac:dyDescent="0.2">
      <c r="A1590" s="45">
        <v>14769</v>
      </c>
      <c r="B1590" s="37" t="str">
        <f>HYPERLINK("http://sedek.ru/upload/iblock/93b/salat_bona.jpg","фото")</f>
        <v>фото</v>
      </c>
      <c r="C1590" s="38"/>
      <c r="D1590" s="38"/>
      <c r="E1590" s="39"/>
      <c r="F1590" s="39" t="s">
        <v>1938</v>
      </c>
      <c r="G1590" s="40">
        <v>1</v>
      </c>
      <c r="H1590" s="39" t="s">
        <v>101</v>
      </c>
      <c r="I1590" s="39" t="s">
        <v>102</v>
      </c>
      <c r="J1590" s="41">
        <v>2500</v>
      </c>
      <c r="K1590" s="42">
        <v>20.5</v>
      </c>
      <c r="L1590" s="43"/>
      <c r="M1590" s="43">
        <f>L1590*K1590</f>
        <v>0</v>
      </c>
      <c r="N1590" s="35">
        <v>4607015189438</v>
      </c>
    </row>
    <row r="1591" spans="1:14" ht="24" customHeight="1" outlineLevel="3" x14ac:dyDescent="0.2">
      <c r="A1591" s="45">
        <v>16792</v>
      </c>
      <c r="B1591" s="37" t="str">
        <f>HYPERLINK("http://sedek.ru/upload/iblock/f50/salat_tsikornyy_boroda_kaputsina.jpg","фото")</f>
        <v>фото</v>
      </c>
      <c r="C1591" s="38"/>
      <c r="D1591" s="38"/>
      <c r="E1591" s="39"/>
      <c r="F1591" s="39" t="s">
        <v>1939</v>
      </c>
      <c r="G1591" s="44">
        <v>0.5</v>
      </c>
      <c r="H1591" s="39" t="s">
        <v>101</v>
      </c>
      <c r="I1591" s="39" t="s">
        <v>102</v>
      </c>
      <c r="J1591" s="41">
        <v>3000</v>
      </c>
      <c r="K1591" s="42">
        <v>20.5</v>
      </c>
      <c r="L1591" s="43"/>
      <c r="M1591" s="43">
        <f>L1591*K1591</f>
        <v>0</v>
      </c>
      <c r="N1591" s="35">
        <v>4690368025447</v>
      </c>
    </row>
    <row r="1592" spans="1:14" ht="36" customHeight="1" outlineLevel="3" x14ac:dyDescent="0.2">
      <c r="A1592" s="45">
        <v>13871</v>
      </c>
      <c r="B1592" s="37" t="str">
        <f>HYPERLINK("http://sedek.ru/upload/iblock/71e/salat_valeryannitsa.jpg","фото")</f>
        <v>фото</v>
      </c>
      <c r="C1592" s="38"/>
      <c r="D1592" s="38"/>
      <c r="E1592" s="39"/>
      <c r="F1592" s="39" t="s">
        <v>1940</v>
      </c>
      <c r="G1592" s="40">
        <v>1</v>
      </c>
      <c r="H1592" s="39" t="s">
        <v>101</v>
      </c>
      <c r="I1592" s="39" t="s">
        <v>102</v>
      </c>
      <c r="J1592" s="41">
        <v>2500</v>
      </c>
      <c r="K1592" s="42">
        <v>20.5</v>
      </c>
      <c r="L1592" s="43"/>
      <c r="M1592" s="43">
        <f>L1592*K1592</f>
        <v>0</v>
      </c>
      <c r="N1592" s="35">
        <v>4607149406265</v>
      </c>
    </row>
    <row r="1593" spans="1:14" ht="36" customHeight="1" outlineLevel="3" x14ac:dyDescent="0.2">
      <c r="A1593" s="45">
        <v>15090</v>
      </c>
      <c r="B1593" s="37" t="str">
        <f>HYPERLINK("http://www.sedek.ru/upload/iblock/c52/salat_endiviy_vesennee_kruzhevo.jpg","фото")</f>
        <v>фото</v>
      </c>
      <c r="C1593" s="38"/>
      <c r="D1593" s="38"/>
      <c r="E1593" s="39"/>
      <c r="F1593" s="39" t="s">
        <v>1941</v>
      </c>
      <c r="G1593" s="44">
        <v>0.5</v>
      </c>
      <c r="H1593" s="39" t="s">
        <v>101</v>
      </c>
      <c r="I1593" s="39" t="s">
        <v>102</v>
      </c>
      <c r="J1593" s="41">
        <v>3000</v>
      </c>
      <c r="K1593" s="42">
        <v>20.5</v>
      </c>
      <c r="L1593" s="43"/>
      <c r="M1593" s="43">
        <f>L1593*K1593</f>
        <v>0</v>
      </c>
      <c r="N1593" s="35">
        <v>4607149401796</v>
      </c>
    </row>
    <row r="1594" spans="1:14" ht="36" customHeight="1" outlineLevel="3" x14ac:dyDescent="0.2">
      <c r="A1594" s="45">
        <v>16314</v>
      </c>
      <c r="B1594" s="37" t="str">
        <f>HYPERLINK("http://sedek.ru/upload/iblock/0ea/salat_vesenniy.jpg","фото")</f>
        <v>фото</v>
      </c>
      <c r="C1594" s="38"/>
      <c r="D1594" s="38"/>
      <c r="E1594" s="39"/>
      <c r="F1594" s="39" t="s">
        <v>1942</v>
      </c>
      <c r="G1594" s="40">
        <v>1</v>
      </c>
      <c r="H1594" s="39" t="s">
        <v>101</v>
      </c>
      <c r="I1594" s="39" t="s">
        <v>102</v>
      </c>
      <c r="J1594" s="41">
        <v>2500</v>
      </c>
      <c r="K1594" s="42">
        <v>16.899999999999999</v>
      </c>
      <c r="L1594" s="43"/>
      <c r="M1594" s="43">
        <f>L1594*K1594</f>
        <v>0</v>
      </c>
      <c r="N1594" s="35">
        <v>4690368009003</v>
      </c>
    </row>
    <row r="1595" spans="1:14" ht="36" customHeight="1" outlineLevel="3" x14ac:dyDescent="0.2">
      <c r="A1595" s="45">
        <v>15750</v>
      </c>
      <c r="B1595" s="37" t="str">
        <f>HYPERLINK("http://sedek.ru/upload/iblock/818/salat_vitaminnyy.jpg","фото")</f>
        <v>фото</v>
      </c>
      <c r="C1595" s="38"/>
      <c r="D1595" s="38"/>
      <c r="E1595" s="39"/>
      <c r="F1595" s="39" t="s">
        <v>1943</v>
      </c>
      <c r="G1595" s="44">
        <v>0.5</v>
      </c>
      <c r="H1595" s="39" t="s">
        <v>101</v>
      </c>
      <c r="I1595" s="39" t="s">
        <v>102</v>
      </c>
      <c r="J1595" s="41">
        <v>3000</v>
      </c>
      <c r="K1595" s="42">
        <v>20</v>
      </c>
      <c r="L1595" s="43"/>
      <c r="M1595" s="43">
        <f>L1595*K1595</f>
        <v>0</v>
      </c>
      <c r="N1595" s="35">
        <v>4690368007962</v>
      </c>
    </row>
    <row r="1596" spans="1:14" ht="36" customHeight="1" outlineLevel="3" x14ac:dyDescent="0.2">
      <c r="A1596" s="45">
        <v>16189</v>
      </c>
      <c r="B1596" s="37" t="str">
        <f>HYPERLINK("http://sedek.ru/upload/iblock/09c/salat_tsikornyy_doktor_diabeta.jpg","фото")</f>
        <v>фото</v>
      </c>
      <c r="C1596" s="38"/>
      <c r="D1596" s="38"/>
      <c r="E1596" s="39"/>
      <c r="F1596" s="39" t="s">
        <v>1944</v>
      </c>
      <c r="G1596" s="44">
        <v>0.5</v>
      </c>
      <c r="H1596" s="39" t="s">
        <v>101</v>
      </c>
      <c r="I1596" s="39" t="s">
        <v>102</v>
      </c>
      <c r="J1596" s="41">
        <v>3000</v>
      </c>
      <c r="K1596" s="42">
        <v>20.5</v>
      </c>
      <c r="L1596" s="43"/>
      <c r="M1596" s="43">
        <f>L1596*K1596</f>
        <v>0</v>
      </c>
      <c r="N1596" s="35">
        <v>4607149401741</v>
      </c>
    </row>
    <row r="1597" spans="1:14" ht="36" customHeight="1" outlineLevel="3" x14ac:dyDescent="0.2">
      <c r="A1597" s="45">
        <v>15351</v>
      </c>
      <c r="B1597" s="37" t="str">
        <f>HYPERLINK("http://sedek.ru/upload/iblock/bd2/salat_dollar_f1.jpg","фото")</f>
        <v>фото</v>
      </c>
      <c r="C1597" s="38"/>
      <c r="D1597" s="38"/>
      <c r="E1597" s="39"/>
      <c r="F1597" s="39" t="s">
        <v>1945</v>
      </c>
      <c r="G1597" s="44">
        <v>0.5</v>
      </c>
      <c r="H1597" s="39" t="s">
        <v>101</v>
      </c>
      <c r="I1597" s="39" t="s">
        <v>102</v>
      </c>
      <c r="J1597" s="41">
        <v>3000</v>
      </c>
      <c r="K1597" s="42">
        <v>20.5</v>
      </c>
      <c r="L1597" s="43"/>
      <c r="M1597" s="43">
        <f>L1597*K1597</f>
        <v>0</v>
      </c>
      <c r="N1597" s="35">
        <v>4607149403585</v>
      </c>
    </row>
    <row r="1598" spans="1:14" ht="36" customHeight="1" outlineLevel="3" x14ac:dyDescent="0.2">
      <c r="A1598" s="45">
        <v>16392</v>
      </c>
      <c r="B1598" s="37" t="str">
        <f>HYPERLINK("http://sedek.ru/upload/iblock/398/salat_zima.jpg","фото")</f>
        <v>фото</v>
      </c>
      <c r="C1598" s="38"/>
      <c r="D1598" s="38"/>
      <c r="E1598" s="39"/>
      <c r="F1598" s="39" t="s">
        <v>1946</v>
      </c>
      <c r="G1598" s="44">
        <v>0.5</v>
      </c>
      <c r="H1598" s="39" t="s">
        <v>101</v>
      </c>
      <c r="I1598" s="39" t="s">
        <v>102</v>
      </c>
      <c r="J1598" s="41">
        <v>3000</v>
      </c>
      <c r="K1598" s="42">
        <v>20.5</v>
      </c>
      <c r="L1598" s="43"/>
      <c r="M1598" s="43">
        <f>L1598*K1598</f>
        <v>0</v>
      </c>
      <c r="N1598" s="35">
        <v>4607116267523</v>
      </c>
    </row>
    <row r="1599" spans="1:14" ht="36" customHeight="1" outlineLevel="3" x14ac:dyDescent="0.2">
      <c r="A1599" s="45">
        <v>14282</v>
      </c>
      <c r="B1599" s="37" t="str">
        <f>HYPERLINK("http://www.sedek.ru/upload/iblock/8b7/salat_izumrudnyy.jpg","фото")</f>
        <v>фото</v>
      </c>
      <c r="C1599" s="38"/>
      <c r="D1599" s="38"/>
      <c r="E1599" s="39"/>
      <c r="F1599" s="39" t="s">
        <v>1947</v>
      </c>
      <c r="G1599" s="44">
        <v>0.5</v>
      </c>
      <c r="H1599" s="39" t="s">
        <v>101</v>
      </c>
      <c r="I1599" s="39" t="s">
        <v>102</v>
      </c>
      <c r="J1599" s="41">
        <v>3000</v>
      </c>
      <c r="K1599" s="42">
        <v>20.5</v>
      </c>
      <c r="L1599" s="43"/>
      <c r="M1599" s="43">
        <f>L1599*K1599</f>
        <v>0</v>
      </c>
      <c r="N1599" s="35">
        <v>4607149409051</v>
      </c>
    </row>
    <row r="1600" spans="1:14" ht="36" customHeight="1" outlineLevel="3" x14ac:dyDescent="0.2">
      <c r="A1600" s="45">
        <v>15282</v>
      </c>
      <c r="B1600" s="37" t="str">
        <f>HYPERLINK("http://www.sedek.ru/upload/iblock/f8e/salat_kado.jpg","фото")</f>
        <v>фото</v>
      </c>
      <c r="C1600" s="38"/>
      <c r="D1600" s="38"/>
      <c r="E1600" s="39"/>
      <c r="F1600" s="39" t="s">
        <v>1948</v>
      </c>
      <c r="G1600" s="40">
        <v>1</v>
      </c>
      <c r="H1600" s="39" t="s">
        <v>101</v>
      </c>
      <c r="I1600" s="39" t="s">
        <v>102</v>
      </c>
      <c r="J1600" s="41">
        <v>2500</v>
      </c>
      <c r="K1600" s="42">
        <v>20.5</v>
      </c>
      <c r="L1600" s="43"/>
      <c r="M1600" s="43">
        <f>L1600*K1600</f>
        <v>0</v>
      </c>
      <c r="N1600" s="35">
        <v>4607015189445</v>
      </c>
    </row>
    <row r="1601" spans="1:14" ht="36" customHeight="1" outlineLevel="3" x14ac:dyDescent="0.2">
      <c r="A1601" s="45">
        <v>15282</v>
      </c>
      <c r="B1601" s="37" t="str">
        <f>HYPERLINK("http://www.sedek.ru/upload/iblock/f8e/salat_kado.jpg","фото")</f>
        <v>фото</v>
      </c>
      <c r="C1601" s="38"/>
      <c r="D1601" s="38"/>
      <c r="E1601" s="39"/>
      <c r="F1601" s="39" t="s">
        <v>1949</v>
      </c>
      <c r="G1601" s="40">
        <v>1</v>
      </c>
      <c r="H1601" s="39" t="s">
        <v>101</v>
      </c>
      <c r="I1601" s="39" t="s">
        <v>287</v>
      </c>
      <c r="J1601" s="41">
        <v>2500</v>
      </c>
      <c r="K1601" s="42">
        <v>7.9</v>
      </c>
      <c r="L1601" s="43"/>
      <c r="M1601" s="43">
        <f>L1601*K1601</f>
        <v>0</v>
      </c>
      <c r="N1601" s="35">
        <v>4607149403776</v>
      </c>
    </row>
    <row r="1602" spans="1:14" ht="36" customHeight="1" outlineLevel="3" x14ac:dyDescent="0.2">
      <c r="A1602" s="45">
        <v>15929</v>
      </c>
      <c r="B1602" s="37" t="str">
        <f>HYPERLINK("http://sedek.ru/upload/iblock/36b/salat_tsikornyy_vitluf_konus.jpg","фото")</f>
        <v>фото</v>
      </c>
      <c r="C1602" s="38"/>
      <c r="D1602" s="38"/>
      <c r="E1602" s="39"/>
      <c r="F1602" s="39" t="s">
        <v>1950</v>
      </c>
      <c r="G1602" s="44">
        <v>0.5</v>
      </c>
      <c r="H1602" s="39" t="s">
        <v>101</v>
      </c>
      <c r="I1602" s="39" t="s">
        <v>102</v>
      </c>
      <c r="J1602" s="41">
        <v>3000</v>
      </c>
      <c r="K1602" s="42">
        <v>20.5</v>
      </c>
      <c r="L1602" s="43"/>
      <c r="M1602" s="43">
        <f>L1602*K1602</f>
        <v>0</v>
      </c>
      <c r="N1602" s="35">
        <v>4607149406272</v>
      </c>
    </row>
    <row r="1603" spans="1:14" ht="36" customHeight="1" outlineLevel="3" x14ac:dyDescent="0.2">
      <c r="A1603" s="45">
        <v>16290</v>
      </c>
      <c r="B1603" s="37" t="str">
        <f>HYPERLINK("http://sedek.ru/upload/iblock/1d9/salat_koroleva_lda.jpg","фото")</f>
        <v>фото</v>
      </c>
      <c r="C1603" s="38"/>
      <c r="D1603" s="38"/>
      <c r="E1603" s="39"/>
      <c r="F1603" s="39" t="s">
        <v>1951</v>
      </c>
      <c r="G1603" s="44">
        <v>0.5</v>
      </c>
      <c r="H1603" s="39" t="s">
        <v>101</v>
      </c>
      <c r="I1603" s="39" t="s">
        <v>287</v>
      </c>
      <c r="J1603" s="41">
        <v>3000</v>
      </c>
      <c r="K1603" s="42">
        <v>10.3</v>
      </c>
      <c r="L1603" s="43"/>
      <c r="M1603" s="43">
        <f>L1603*K1603</f>
        <v>0</v>
      </c>
      <c r="N1603" s="35">
        <v>4607149407484</v>
      </c>
    </row>
    <row r="1604" spans="1:14" ht="36" customHeight="1" outlineLevel="3" x14ac:dyDescent="0.2">
      <c r="A1604" s="45">
        <v>14902</v>
      </c>
      <c r="B1604" s="37" t="str">
        <f>HYPERLINK("http://sedek.ru/upload/iblock/c0f/salat_kosmos.jpg","фото")</f>
        <v>фото</v>
      </c>
      <c r="C1604" s="38"/>
      <c r="D1604" s="38"/>
      <c r="E1604" s="39"/>
      <c r="F1604" s="39" t="s">
        <v>1952</v>
      </c>
      <c r="G1604" s="40">
        <v>1</v>
      </c>
      <c r="H1604" s="39" t="s">
        <v>101</v>
      </c>
      <c r="I1604" s="39" t="s">
        <v>102</v>
      </c>
      <c r="J1604" s="41">
        <v>2500</v>
      </c>
      <c r="K1604" s="42">
        <v>21.9</v>
      </c>
      <c r="L1604" s="43"/>
      <c r="M1604" s="43">
        <f>L1604*K1604</f>
        <v>0</v>
      </c>
      <c r="N1604" s="35">
        <v>4607015189476</v>
      </c>
    </row>
    <row r="1605" spans="1:14" ht="36" customHeight="1" outlineLevel="3" x14ac:dyDescent="0.2">
      <c r="A1605" s="45">
        <v>15624</v>
      </c>
      <c r="B1605" s="37" t="str">
        <f>HYPERLINK("http://sedek.ru/upload/iblock/5b4/salat_krasavchik.jpg","фото")</f>
        <v>фото</v>
      </c>
      <c r="C1605" s="38"/>
      <c r="D1605" s="38"/>
      <c r="E1605" s="39"/>
      <c r="F1605" s="39" t="s">
        <v>1953</v>
      </c>
      <c r="G1605" s="44">
        <v>0.5</v>
      </c>
      <c r="H1605" s="39" t="s">
        <v>101</v>
      </c>
      <c r="I1605" s="39" t="s">
        <v>102</v>
      </c>
      <c r="J1605" s="41">
        <v>3000</v>
      </c>
      <c r="K1605" s="42">
        <v>20.5</v>
      </c>
      <c r="L1605" s="43"/>
      <c r="M1605" s="43">
        <f>L1605*K1605</f>
        <v>0</v>
      </c>
      <c r="N1605" s="35">
        <v>4607149403592</v>
      </c>
    </row>
    <row r="1606" spans="1:14" ht="36" customHeight="1" outlineLevel="3" x14ac:dyDescent="0.2">
      <c r="A1606" s="45">
        <v>13889</v>
      </c>
      <c r="B1606" s="37" t="str">
        <f>HYPERLINK("http://www.sedek.ru/upload/iblock/470/salat_krasnolistnyy_letniy.jpg","фото")</f>
        <v>фото</v>
      </c>
      <c r="C1606" s="38"/>
      <c r="D1606" s="38"/>
      <c r="E1606" s="39"/>
      <c r="F1606" s="39" t="s">
        <v>1954</v>
      </c>
      <c r="G1606" s="44">
        <v>0.5</v>
      </c>
      <c r="H1606" s="39" t="s">
        <v>101</v>
      </c>
      <c r="I1606" s="39" t="s">
        <v>102</v>
      </c>
      <c r="J1606" s="41">
        <v>3000</v>
      </c>
      <c r="K1606" s="42">
        <v>19.5</v>
      </c>
      <c r="L1606" s="43"/>
      <c r="M1606" s="43">
        <f>L1606*K1606</f>
        <v>0</v>
      </c>
      <c r="N1606" s="35">
        <v>4607015189483</v>
      </c>
    </row>
    <row r="1607" spans="1:14" ht="36" customHeight="1" outlineLevel="3" x14ac:dyDescent="0.2">
      <c r="A1607" s="45">
        <v>13889</v>
      </c>
      <c r="B1607" s="37" t="str">
        <f>HYPERLINK("http://www.sedek.ru/upload/iblock/470/salat_krasnolistnyy_letniy.jpg","фото")</f>
        <v>фото</v>
      </c>
      <c r="C1607" s="38"/>
      <c r="D1607" s="38"/>
      <c r="E1607" s="39"/>
      <c r="F1607" s="39" t="s">
        <v>1955</v>
      </c>
      <c r="G1607" s="44">
        <v>0.5</v>
      </c>
      <c r="H1607" s="39" t="s">
        <v>101</v>
      </c>
      <c r="I1607" s="39" t="s">
        <v>287</v>
      </c>
      <c r="J1607" s="41">
        <v>3000</v>
      </c>
      <c r="K1607" s="42">
        <v>6.8</v>
      </c>
      <c r="L1607" s="43"/>
      <c r="M1607" s="43">
        <f>L1607*K1607</f>
        <v>0</v>
      </c>
      <c r="N1607" s="35">
        <v>4690368005296</v>
      </c>
    </row>
    <row r="1608" spans="1:14" ht="36" customHeight="1" outlineLevel="3" x14ac:dyDescent="0.2">
      <c r="A1608" s="45">
        <v>14525</v>
      </c>
      <c r="B1608" s="37" t="str">
        <f>HYPERLINK("http://sedek.ru/upload/iblock/177/salat_kurled_zavitok.jpg","фото")</f>
        <v>фото</v>
      </c>
      <c r="C1608" s="38"/>
      <c r="D1608" s="38"/>
      <c r="E1608" s="39"/>
      <c r="F1608" s="39" t="s">
        <v>1956</v>
      </c>
      <c r="G1608" s="40">
        <v>1</v>
      </c>
      <c r="H1608" s="39" t="s">
        <v>101</v>
      </c>
      <c r="I1608" s="39" t="s">
        <v>102</v>
      </c>
      <c r="J1608" s="41">
        <v>2500</v>
      </c>
      <c r="K1608" s="42">
        <v>20.5</v>
      </c>
      <c r="L1608" s="43"/>
      <c r="M1608" s="43">
        <f>L1608*K1608</f>
        <v>0</v>
      </c>
      <c r="N1608" s="35">
        <v>4690368009010</v>
      </c>
    </row>
    <row r="1609" spans="1:14" ht="36" customHeight="1" outlineLevel="3" x14ac:dyDescent="0.2">
      <c r="A1609" s="45">
        <v>16570</v>
      </c>
      <c r="B1609" s="37" t="str">
        <f>HYPERLINK("http://www.sedek.ru/upload/iblock/e0f/salat_kucheryavets_odesskiy.jpg","фото")</f>
        <v>фото</v>
      </c>
      <c r="C1609" s="38"/>
      <c r="D1609" s="38"/>
      <c r="E1609" s="39"/>
      <c r="F1609" s="39" t="s">
        <v>1957</v>
      </c>
      <c r="G1609" s="44">
        <v>0.5</v>
      </c>
      <c r="H1609" s="39" t="s">
        <v>101</v>
      </c>
      <c r="I1609" s="39" t="s">
        <v>102</v>
      </c>
      <c r="J1609" s="41">
        <v>3000</v>
      </c>
      <c r="K1609" s="42">
        <v>15.6</v>
      </c>
      <c r="L1609" s="43"/>
      <c r="M1609" s="43">
        <f>L1609*K1609</f>
        <v>0</v>
      </c>
      <c r="N1609" s="35">
        <v>4607149401000</v>
      </c>
    </row>
    <row r="1610" spans="1:14" ht="36" customHeight="1" outlineLevel="3" x14ac:dyDescent="0.2">
      <c r="A1610" s="36" t="s">
        <v>1958</v>
      </c>
      <c r="B1610" s="37" t="str">
        <f>HYPERLINK("http://www.sedek.ru/upload/iblock/e0f/salat_kucheryavets_odesskiy.jpg","фото")</f>
        <v>фото</v>
      </c>
      <c r="C1610" s="38"/>
      <c r="D1610" s="38"/>
      <c r="E1610" s="39"/>
      <c r="F1610" s="39" t="s">
        <v>1957</v>
      </c>
      <c r="G1610" s="44">
        <v>0.5</v>
      </c>
      <c r="H1610" s="39"/>
      <c r="I1610" s="39" t="s">
        <v>102</v>
      </c>
      <c r="J1610" s="41">
        <v>3000</v>
      </c>
      <c r="K1610" s="42">
        <v>17.2</v>
      </c>
      <c r="L1610" s="43"/>
      <c r="M1610" s="43">
        <f>L1610*K1610</f>
        <v>0</v>
      </c>
      <c r="N1610" s="33" t="s">
        <v>1799</v>
      </c>
    </row>
    <row r="1611" spans="1:14" ht="36" customHeight="1" outlineLevel="3" x14ac:dyDescent="0.2">
      <c r="A1611" s="46">
        <v>16299</v>
      </c>
      <c r="B1611" s="47" t="str">
        <f>HYPERLINK("http://sedek.ru/upload/iblock/c05/salat_letniy_zolotoy.jpg","фото")</f>
        <v>фото</v>
      </c>
      <c r="C1611" s="48"/>
      <c r="D1611" s="48"/>
      <c r="E1611" s="49"/>
      <c r="F1611" s="49" t="s">
        <v>1959</v>
      </c>
      <c r="G1611" s="56">
        <v>0.5</v>
      </c>
      <c r="H1611" s="49" t="s">
        <v>101</v>
      </c>
      <c r="I1611" s="49" t="s">
        <v>102</v>
      </c>
      <c r="J1611" s="51">
        <v>2500</v>
      </c>
      <c r="K1611" s="52">
        <v>19.5</v>
      </c>
      <c r="L1611" s="53"/>
      <c r="M1611" s="53">
        <f>L1611*K1611</f>
        <v>0</v>
      </c>
      <c r="N1611" s="35">
        <v>4607015189506</v>
      </c>
    </row>
    <row r="1612" spans="1:14" ht="36" customHeight="1" outlineLevel="3" x14ac:dyDescent="0.2">
      <c r="A1612" s="71">
        <v>16299</v>
      </c>
      <c r="B1612" s="72" t="str">
        <f>HYPERLINK("http://sedek.ru/upload/iblock/c05/salat_letniy_zolotoy.jpg","фото")</f>
        <v>фото</v>
      </c>
      <c r="C1612" s="73"/>
      <c r="D1612" s="73"/>
      <c r="E1612" s="74"/>
      <c r="F1612" s="74" t="s">
        <v>1960</v>
      </c>
      <c r="G1612" s="80">
        <v>0.5</v>
      </c>
      <c r="H1612" s="74" t="s">
        <v>101</v>
      </c>
      <c r="I1612" s="74" t="s">
        <v>287</v>
      </c>
      <c r="J1612" s="76">
        <v>2500</v>
      </c>
      <c r="K1612" s="77">
        <v>7.9</v>
      </c>
      <c r="L1612" s="78"/>
      <c r="M1612" s="78">
        <f>L1612*K1612</f>
        <v>0</v>
      </c>
      <c r="N1612" s="79">
        <v>4690368006453</v>
      </c>
    </row>
    <row r="1613" spans="1:14" ht="36" customHeight="1" outlineLevel="3" x14ac:dyDescent="0.2">
      <c r="A1613" s="45">
        <v>16398</v>
      </c>
      <c r="B1613" s="37" t="str">
        <f>HYPERLINK("http://sedek.ru/upload/iblock/046/salat_letnyaya_radost.jpg","фото")</f>
        <v>фото</v>
      </c>
      <c r="C1613" s="38"/>
      <c r="D1613" s="38"/>
      <c r="E1613" s="39"/>
      <c r="F1613" s="39" t="s">
        <v>1961</v>
      </c>
      <c r="G1613" s="40">
        <v>1</v>
      </c>
      <c r="H1613" s="39" t="s">
        <v>101</v>
      </c>
      <c r="I1613" s="39" t="s">
        <v>102</v>
      </c>
      <c r="J1613" s="41">
        <v>2500</v>
      </c>
      <c r="K1613" s="42">
        <v>21.6</v>
      </c>
      <c r="L1613" s="43"/>
      <c r="M1613" s="43">
        <f>L1613*K1613</f>
        <v>0</v>
      </c>
      <c r="N1613" s="35">
        <v>4607149403554</v>
      </c>
    </row>
    <row r="1614" spans="1:14" ht="36" customHeight="1" outlineLevel="3" x14ac:dyDescent="0.2">
      <c r="A1614" s="45">
        <v>13850</v>
      </c>
      <c r="B1614" s="37" t="str">
        <f>HYPERLINK("http://sedek.ru/upload/iblock/0df/salat_lollo_biondo.jpg","фото")</f>
        <v>фото</v>
      </c>
      <c r="C1614" s="38"/>
      <c r="D1614" s="38"/>
      <c r="E1614" s="39"/>
      <c r="F1614" s="39" t="s">
        <v>1962</v>
      </c>
      <c r="G1614" s="40">
        <v>1</v>
      </c>
      <c r="H1614" s="39" t="s">
        <v>101</v>
      </c>
      <c r="I1614" s="39" t="s">
        <v>102</v>
      </c>
      <c r="J1614" s="41">
        <v>2500</v>
      </c>
      <c r="K1614" s="42">
        <v>23</v>
      </c>
      <c r="L1614" s="43"/>
      <c r="M1614" s="43">
        <f>L1614*K1614</f>
        <v>0</v>
      </c>
      <c r="N1614" s="35">
        <v>4690368007986</v>
      </c>
    </row>
    <row r="1615" spans="1:14" ht="36" customHeight="1" outlineLevel="3" x14ac:dyDescent="0.2">
      <c r="A1615" s="45">
        <v>14692</v>
      </c>
      <c r="B1615" s="37" t="str">
        <f>HYPERLINK("http://www.sedek.ru/upload/iblock/b2d/salat_lollo_rossa.jpg","фото")</f>
        <v>фото</v>
      </c>
      <c r="C1615" s="38"/>
      <c r="D1615" s="38"/>
      <c r="E1615" s="39"/>
      <c r="F1615" s="39" t="s">
        <v>1963</v>
      </c>
      <c r="G1615" s="44">
        <v>0.5</v>
      </c>
      <c r="H1615" s="39" t="s">
        <v>101</v>
      </c>
      <c r="I1615" s="39" t="s">
        <v>102</v>
      </c>
      <c r="J1615" s="41">
        <v>3000</v>
      </c>
      <c r="K1615" s="42">
        <v>16.899999999999999</v>
      </c>
      <c r="L1615" s="43"/>
      <c r="M1615" s="43">
        <f>L1615*K1615</f>
        <v>0</v>
      </c>
      <c r="N1615" s="35">
        <v>4607015189520</v>
      </c>
    </row>
    <row r="1616" spans="1:14" ht="36" customHeight="1" outlineLevel="3" x14ac:dyDescent="0.2">
      <c r="A1616" s="45">
        <v>14692</v>
      </c>
      <c r="B1616" s="37" t="str">
        <f>HYPERLINK("http://www.sedek.ru/upload/iblock/b2d/salat_lollo_rossa.jpg","фото")</f>
        <v>фото</v>
      </c>
      <c r="C1616" s="38"/>
      <c r="D1616" s="38"/>
      <c r="E1616" s="39"/>
      <c r="F1616" s="39" t="s">
        <v>1964</v>
      </c>
      <c r="G1616" s="44">
        <v>0.5</v>
      </c>
      <c r="H1616" s="39" t="s">
        <v>101</v>
      </c>
      <c r="I1616" s="39" t="s">
        <v>287</v>
      </c>
      <c r="J1616" s="41">
        <v>3000</v>
      </c>
      <c r="K1616" s="42">
        <v>7.1</v>
      </c>
      <c r="L1616" s="43"/>
      <c r="M1616" s="43">
        <f>L1616*K1616</f>
        <v>0</v>
      </c>
      <c r="N1616" s="35">
        <v>4607149403783</v>
      </c>
    </row>
    <row r="1617" spans="1:14" ht="36" customHeight="1" outlineLevel="3" x14ac:dyDescent="0.2">
      <c r="A1617" s="45">
        <v>14543</v>
      </c>
      <c r="B1617" s="37" t="str">
        <f>HYPERLINK("http://sedek.ru/upload/iblock/a1a/salat_malvina.jpg","фото")</f>
        <v>фото</v>
      </c>
      <c r="C1617" s="38"/>
      <c r="D1617" s="38"/>
      <c r="E1617" s="39"/>
      <c r="F1617" s="39" t="s">
        <v>1965</v>
      </c>
      <c r="G1617" s="44">
        <v>0.5</v>
      </c>
      <c r="H1617" s="39" t="s">
        <v>101</v>
      </c>
      <c r="I1617" s="39" t="s">
        <v>102</v>
      </c>
      <c r="J1617" s="41">
        <v>3000</v>
      </c>
      <c r="K1617" s="42">
        <v>20.5</v>
      </c>
      <c r="L1617" s="43"/>
      <c r="M1617" s="43">
        <f>L1617*K1617</f>
        <v>0</v>
      </c>
      <c r="N1617" s="35">
        <v>4607015189537</v>
      </c>
    </row>
    <row r="1618" spans="1:14" ht="36" customHeight="1" outlineLevel="3" x14ac:dyDescent="0.2">
      <c r="A1618" s="45">
        <v>13872</v>
      </c>
      <c r="B1618" s="37" t="str">
        <f>HYPERLINK("http://sedek.ru/upload/iblock/071/salat_mashenka_kochannyy.jpg","фото")</f>
        <v>фото</v>
      </c>
      <c r="C1618" s="38"/>
      <c r="D1618" s="38"/>
      <c r="E1618" s="39"/>
      <c r="F1618" s="39" t="s">
        <v>1966</v>
      </c>
      <c r="G1618" s="40">
        <v>1</v>
      </c>
      <c r="H1618" s="39" t="s">
        <v>101</v>
      </c>
      <c r="I1618" s="39" t="s">
        <v>102</v>
      </c>
      <c r="J1618" s="41">
        <v>2500</v>
      </c>
      <c r="K1618" s="42">
        <v>20.5</v>
      </c>
      <c r="L1618" s="43"/>
      <c r="M1618" s="43">
        <f>L1618*K1618</f>
        <v>0</v>
      </c>
      <c r="N1618" s="35">
        <v>4607149403530</v>
      </c>
    </row>
    <row r="1619" spans="1:14" ht="36" customHeight="1" outlineLevel="3" x14ac:dyDescent="0.2">
      <c r="A1619" s="45">
        <v>13952</v>
      </c>
      <c r="B1619" s="37" t="str">
        <f>HYPERLINK("http://sedek.ru/upload/iblock/0b2/salat_moskovskiy_parnikovyy.jpg","фото")</f>
        <v>фото</v>
      </c>
      <c r="C1619" s="38"/>
      <c r="D1619" s="38"/>
      <c r="E1619" s="39"/>
      <c r="F1619" s="39" t="s">
        <v>1967</v>
      </c>
      <c r="G1619" s="44">
        <v>0.5</v>
      </c>
      <c r="H1619" s="39" t="s">
        <v>101</v>
      </c>
      <c r="I1619" s="39" t="s">
        <v>102</v>
      </c>
      <c r="J1619" s="41">
        <v>3000</v>
      </c>
      <c r="K1619" s="42">
        <v>15.6</v>
      </c>
      <c r="L1619" s="43"/>
      <c r="M1619" s="43">
        <f>L1619*K1619</f>
        <v>0</v>
      </c>
      <c r="N1619" s="35">
        <v>4690368007993</v>
      </c>
    </row>
    <row r="1620" spans="1:14" ht="36" customHeight="1" outlineLevel="3" x14ac:dyDescent="0.2">
      <c r="A1620" s="45">
        <v>14385</v>
      </c>
      <c r="B1620" s="37" t="str">
        <f>HYPERLINK("http://sedek.ru/upload/iblock/cdc/salat_endiviy_nezhnyy.jpg","фото")</f>
        <v>фото</v>
      </c>
      <c r="C1620" s="38"/>
      <c r="D1620" s="38"/>
      <c r="E1620" s="39"/>
      <c r="F1620" s="39" t="s">
        <v>1968</v>
      </c>
      <c r="G1620" s="44">
        <v>0.5</v>
      </c>
      <c r="H1620" s="39" t="s">
        <v>101</v>
      </c>
      <c r="I1620" s="39" t="s">
        <v>102</v>
      </c>
      <c r="J1620" s="41">
        <v>3000</v>
      </c>
      <c r="K1620" s="42">
        <v>20.5</v>
      </c>
      <c r="L1620" s="43"/>
      <c r="M1620" s="43">
        <f>L1620*K1620</f>
        <v>0</v>
      </c>
      <c r="N1620" s="35">
        <v>4690368023597</v>
      </c>
    </row>
    <row r="1621" spans="1:14" ht="36" customHeight="1" outlineLevel="3" x14ac:dyDescent="0.2">
      <c r="A1621" s="45">
        <v>14385</v>
      </c>
      <c r="B1621" s="37" t="str">
        <f>HYPERLINK("http://sedek.ru/upload/iblock/cdc/salat_endiviy_nezhnyy.jpg","фото")</f>
        <v>фото</v>
      </c>
      <c r="C1621" s="38"/>
      <c r="D1621" s="38"/>
      <c r="E1621" s="39"/>
      <c r="F1621" s="39" t="s">
        <v>1969</v>
      </c>
      <c r="G1621" s="44">
        <v>0.5</v>
      </c>
      <c r="H1621" s="39" t="s">
        <v>101</v>
      </c>
      <c r="I1621" s="39" t="s">
        <v>287</v>
      </c>
      <c r="J1621" s="41">
        <v>3000</v>
      </c>
      <c r="K1621" s="42">
        <v>7.9</v>
      </c>
      <c r="L1621" s="43"/>
      <c r="M1621" s="43">
        <f>L1621*K1621</f>
        <v>0</v>
      </c>
      <c r="N1621" s="35">
        <v>4607149407491</v>
      </c>
    </row>
    <row r="1622" spans="1:14" ht="36" customHeight="1" outlineLevel="3" x14ac:dyDescent="0.2">
      <c r="A1622" s="45">
        <v>15424</v>
      </c>
      <c r="B1622" s="37" t="str">
        <f>HYPERLINK("http://sedek.ru/upload/iblock/b06/salat_novogodniy.jpg","фото")</f>
        <v>фото</v>
      </c>
      <c r="C1622" s="38"/>
      <c r="D1622" s="38"/>
      <c r="E1622" s="39"/>
      <c r="F1622" s="39" t="s">
        <v>1970</v>
      </c>
      <c r="G1622" s="44">
        <v>0.5</v>
      </c>
      <c r="H1622" s="39" t="s">
        <v>101</v>
      </c>
      <c r="I1622" s="39" t="s">
        <v>102</v>
      </c>
      <c r="J1622" s="41">
        <v>3000</v>
      </c>
      <c r="K1622" s="42">
        <v>20.6</v>
      </c>
      <c r="L1622" s="43"/>
      <c r="M1622" s="43">
        <f>L1622*K1622</f>
        <v>0</v>
      </c>
      <c r="N1622" s="35">
        <v>4690368008006</v>
      </c>
    </row>
    <row r="1623" spans="1:14" ht="36" customHeight="1" outlineLevel="3" x14ac:dyDescent="0.2">
      <c r="A1623" s="45">
        <v>15424</v>
      </c>
      <c r="B1623" s="37" t="str">
        <f>HYPERLINK("http://sedek.ru/upload/iblock/b06/salat_novogodniy.jpg","фото")</f>
        <v>фото</v>
      </c>
      <c r="C1623" s="38"/>
      <c r="D1623" s="38"/>
      <c r="E1623" s="39"/>
      <c r="F1623" s="39" t="s">
        <v>1971</v>
      </c>
      <c r="G1623" s="44">
        <v>0.5</v>
      </c>
      <c r="H1623" s="39" t="s">
        <v>101</v>
      </c>
      <c r="I1623" s="39" t="s">
        <v>287</v>
      </c>
      <c r="J1623" s="41">
        <v>3000</v>
      </c>
      <c r="K1623" s="42">
        <v>7.9</v>
      </c>
      <c r="L1623" s="43"/>
      <c r="M1623" s="43">
        <f>L1623*K1623</f>
        <v>0</v>
      </c>
      <c r="N1623" s="35">
        <v>4690368044028</v>
      </c>
    </row>
    <row r="1624" spans="1:14" ht="36" customHeight="1" outlineLevel="3" x14ac:dyDescent="0.2">
      <c r="A1624" s="46">
        <v>16572</v>
      </c>
      <c r="B1624" s="47" t="str">
        <f>HYPERLINK("http://sedek.ru/upload/iblock/e1a/salat_obkhrustishsya.jpg","фото")</f>
        <v>фото</v>
      </c>
      <c r="C1624" s="48"/>
      <c r="D1624" s="48"/>
      <c r="E1624" s="49"/>
      <c r="F1624" s="49" t="s">
        <v>1972</v>
      </c>
      <c r="G1624" s="56">
        <v>0.5</v>
      </c>
      <c r="H1624" s="49" t="s">
        <v>101</v>
      </c>
      <c r="I1624" s="49" t="s">
        <v>102</v>
      </c>
      <c r="J1624" s="51">
        <v>3000</v>
      </c>
      <c r="K1624" s="52">
        <v>19.5</v>
      </c>
      <c r="L1624" s="53"/>
      <c r="M1624" s="53">
        <f>L1624*K1624</f>
        <v>0</v>
      </c>
      <c r="N1624" s="35">
        <v>4607149403578</v>
      </c>
    </row>
    <row r="1625" spans="1:14" ht="24" customHeight="1" outlineLevel="3" x14ac:dyDescent="0.2">
      <c r="A1625" s="45">
        <v>15211</v>
      </c>
      <c r="B1625" s="37" t="str">
        <f>HYPERLINK("http://sedek.ru/upload/iblock/208/salat_pikant.jpg","фото")</f>
        <v>фото</v>
      </c>
      <c r="C1625" s="38"/>
      <c r="D1625" s="38"/>
      <c r="E1625" s="39"/>
      <c r="F1625" s="39" t="s">
        <v>1973</v>
      </c>
      <c r="G1625" s="40">
        <v>1</v>
      </c>
      <c r="H1625" s="39" t="s">
        <v>101</v>
      </c>
      <c r="I1625" s="39" t="s">
        <v>102</v>
      </c>
      <c r="J1625" s="41">
        <v>2500</v>
      </c>
      <c r="K1625" s="42">
        <v>20.5</v>
      </c>
      <c r="L1625" s="43"/>
      <c r="M1625" s="43">
        <f>L1625*K1625</f>
        <v>0</v>
      </c>
      <c r="N1625" s="35">
        <v>4607015189544</v>
      </c>
    </row>
    <row r="1626" spans="1:14" ht="24" customHeight="1" outlineLevel="3" x14ac:dyDescent="0.2">
      <c r="A1626" s="45">
        <v>15211</v>
      </c>
      <c r="B1626" s="37" t="str">
        <f>HYPERLINK("http://sedek.ru/upload/iblock/208/salat_pikant.jpg","фото")</f>
        <v>фото</v>
      </c>
      <c r="C1626" s="38"/>
      <c r="D1626" s="38"/>
      <c r="E1626" s="39"/>
      <c r="F1626" s="39" t="s">
        <v>1974</v>
      </c>
      <c r="G1626" s="40">
        <v>1</v>
      </c>
      <c r="H1626" s="39" t="s">
        <v>101</v>
      </c>
      <c r="I1626" s="39" t="s">
        <v>287</v>
      </c>
      <c r="J1626" s="41">
        <v>2500</v>
      </c>
      <c r="K1626" s="42">
        <v>7.9</v>
      </c>
      <c r="L1626" s="43"/>
      <c r="M1626" s="43">
        <f>L1626*K1626</f>
        <v>0</v>
      </c>
      <c r="N1626" s="35">
        <v>4690368005302</v>
      </c>
    </row>
    <row r="1627" spans="1:14" ht="36" customHeight="1" outlineLevel="3" x14ac:dyDescent="0.2">
      <c r="A1627" s="45">
        <v>14741</v>
      </c>
      <c r="B1627" s="37" t="str">
        <f>HYPERLINK("http://sedek.ru/upload/iblock/003/salat_puchkovyy.jpg","фото")</f>
        <v>фото</v>
      </c>
      <c r="C1627" s="38"/>
      <c r="D1627" s="38"/>
      <c r="E1627" s="39"/>
      <c r="F1627" s="39" t="s">
        <v>1975</v>
      </c>
      <c r="G1627" s="40">
        <v>1</v>
      </c>
      <c r="H1627" s="39" t="s">
        <v>101</v>
      </c>
      <c r="I1627" s="39" t="s">
        <v>102</v>
      </c>
      <c r="J1627" s="41">
        <v>2500</v>
      </c>
      <c r="K1627" s="42">
        <v>20.5</v>
      </c>
      <c r="L1627" s="43"/>
      <c r="M1627" s="43">
        <f>L1627*K1627</f>
        <v>0</v>
      </c>
      <c r="N1627" s="35">
        <v>4690368011037</v>
      </c>
    </row>
    <row r="1628" spans="1:14" ht="36" customHeight="1" outlineLevel="3" x14ac:dyDescent="0.2">
      <c r="A1628" s="45">
        <v>15125</v>
      </c>
      <c r="B1628" s="37" t="str">
        <f>HYPERLINK("http://sedek.ru/upload/iblock/923/salat_rubin.jpg","фото")</f>
        <v>фото</v>
      </c>
      <c r="C1628" s="38"/>
      <c r="D1628" s="38"/>
      <c r="E1628" s="39"/>
      <c r="F1628" s="39" t="s">
        <v>1976</v>
      </c>
      <c r="G1628" s="44">
        <v>0.5</v>
      </c>
      <c r="H1628" s="39" t="s">
        <v>101</v>
      </c>
      <c r="I1628" s="39" t="s">
        <v>102</v>
      </c>
      <c r="J1628" s="41">
        <v>3000</v>
      </c>
      <c r="K1628" s="42">
        <v>16.899999999999999</v>
      </c>
      <c r="L1628" s="43"/>
      <c r="M1628" s="43">
        <f>L1628*K1628</f>
        <v>0</v>
      </c>
      <c r="N1628" s="35">
        <v>4607149401734</v>
      </c>
    </row>
    <row r="1629" spans="1:14" ht="24" customHeight="1" outlineLevel="3" x14ac:dyDescent="0.2">
      <c r="A1629" s="45">
        <v>13985</v>
      </c>
      <c r="B1629" s="37" t="str">
        <f>HYPERLINK("http://sedek.ru/upload/iblock/4c3/salat_salatnaya_chasha.jpg","фото")</f>
        <v>фото</v>
      </c>
      <c r="C1629" s="38"/>
      <c r="D1629" s="38"/>
      <c r="E1629" s="39"/>
      <c r="F1629" s="39" t="s">
        <v>1977</v>
      </c>
      <c r="G1629" s="40">
        <v>1</v>
      </c>
      <c r="H1629" s="39" t="s">
        <v>101</v>
      </c>
      <c r="I1629" s="39" t="s">
        <v>102</v>
      </c>
      <c r="J1629" s="41">
        <v>2500</v>
      </c>
      <c r="K1629" s="42">
        <v>20.5</v>
      </c>
      <c r="L1629" s="43"/>
      <c r="M1629" s="43">
        <f>L1629*K1629</f>
        <v>0</v>
      </c>
      <c r="N1629" s="35">
        <v>4607149403608</v>
      </c>
    </row>
    <row r="1630" spans="1:14" ht="24" customHeight="1" outlineLevel="3" x14ac:dyDescent="0.2">
      <c r="A1630" s="45">
        <v>13985</v>
      </c>
      <c r="B1630" s="37" t="str">
        <f>HYPERLINK("http://sedek.ru/upload/iblock/4c3/salat_salatnaya_chasha.jpg","фото")</f>
        <v>фото</v>
      </c>
      <c r="C1630" s="38"/>
      <c r="D1630" s="38"/>
      <c r="E1630" s="39"/>
      <c r="F1630" s="39" t="s">
        <v>1978</v>
      </c>
      <c r="G1630" s="40">
        <v>1</v>
      </c>
      <c r="H1630" s="39" t="s">
        <v>101</v>
      </c>
      <c r="I1630" s="39" t="s">
        <v>287</v>
      </c>
      <c r="J1630" s="41">
        <v>2500</v>
      </c>
      <c r="K1630" s="42">
        <v>7.9</v>
      </c>
      <c r="L1630" s="43"/>
      <c r="M1630" s="43">
        <f>L1630*K1630</f>
        <v>0</v>
      </c>
      <c r="N1630" s="35">
        <v>4607149405862</v>
      </c>
    </row>
    <row r="1631" spans="1:14" ht="36" customHeight="1" outlineLevel="3" x14ac:dyDescent="0.2">
      <c r="A1631" s="45">
        <v>16263</v>
      </c>
      <c r="B1631" s="37" t="str">
        <f>HYPERLINK("http://sedek.ru/upload/iblock/799/salat_sashenka.jpg","фото")</f>
        <v>фото</v>
      </c>
      <c r="C1631" s="38"/>
      <c r="D1631" s="38"/>
      <c r="E1631" s="39"/>
      <c r="F1631" s="39" t="s">
        <v>1979</v>
      </c>
      <c r="G1631" s="40">
        <v>1</v>
      </c>
      <c r="H1631" s="39" t="s">
        <v>101</v>
      </c>
      <c r="I1631" s="39" t="s">
        <v>102</v>
      </c>
      <c r="J1631" s="41">
        <v>2500</v>
      </c>
      <c r="K1631" s="42">
        <v>20.5</v>
      </c>
      <c r="L1631" s="43"/>
      <c r="M1631" s="43">
        <f>L1631*K1631</f>
        <v>0</v>
      </c>
      <c r="N1631" s="35">
        <v>4607149403547</v>
      </c>
    </row>
    <row r="1632" spans="1:14" ht="36" customHeight="1" outlineLevel="3" x14ac:dyDescent="0.2">
      <c r="A1632" s="45">
        <v>13588</v>
      </c>
      <c r="B1632" s="37" t="str">
        <f>HYPERLINK("http://sedek.ru/upload/iblock/f82/salat_skorospelyy_delikates.jpg","фото")</f>
        <v>фото</v>
      </c>
      <c r="C1632" s="38"/>
      <c r="D1632" s="38"/>
      <c r="E1632" s="39"/>
      <c r="F1632" s="39" t="s">
        <v>1980</v>
      </c>
      <c r="G1632" s="44">
        <v>0.5</v>
      </c>
      <c r="H1632" s="39" t="s">
        <v>101</v>
      </c>
      <c r="I1632" s="39" t="s">
        <v>102</v>
      </c>
      <c r="J1632" s="41">
        <v>3000</v>
      </c>
      <c r="K1632" s="42">
        <v>19.5</v>
      </c>
      <c r="L1632" s="43"/>
      <c r="M1632" s="43">
        <f>L1632*K1632</f>
        <v>0</v>
      </c>
      <c r="N1632" s="35">
        <v>4607015189568</v>
      </c>
    </row>
    <row r="1633" spans="1:14" ht="36" customHeight="1" outlineLevel="3" x14ac:dyDescent="0.2">
      <c r="A1633" s="45">
        <v>13588</v>
      </c>
      <c r="B1633" s="37" t="str">
        <f>HYPERLINK("http://sedek.ru/upload/iblock/f82/salat_skorospelyy_delikates.jpg","фото")</f>
        <v>фото</v>
      </c>
      <c r="C1633" s="38"/>
      <c r="D1633" s="38"/>
      <c r="E1633" s="39"/>
      <c r="F1633" s="39" t="s">
        <v>1981</v>
      </c>
      <c r="G1633" s="44">
        <v>0.5</v>
      </c>
      <c r="H1633" s="39" t="s">
        <v>101</v>
      </c>
      <c r="I1633" s="39" t="s">
        <v>287</v>
      </c>
      <c r="J1633" s="41">
        <v>3000</v>
      </c>
      <c r="K1633" s="42">
        <v>7.9</v>
      </c>
      <c r="L1633" s="43"/>
      <c r="M1633" s="43">
        <f>L1633*K1633</f>
        <v>0</v>
      </c>
      <c r="N1633" s="35">
        <v>4690368005319</v>
      </c>
    </row>
    <row r="1634" spans="1:14" ht="36" customHeight="1" outlineLevel="3" x14ac:dyDescent="0.2">
      <c r="A1634" s="36" t="s">
        <v>1982</v>
      </c>
      <c r="B1634" s="37" t="str">
        <f>HYPERLINK("http://www.sedek.ru/upload/iblock/86c/salat_smes_rannikh_sortov.jpg","фото")</f>
        <v>фото</v>
      </c>
      <c r="C1634" s="38"/>
      <c r="D1634" s="38"/>
      <c r="E1634" s="39"/>
      <c r="F1634" s="39" t="s">
        <v>1983</v>
      </c>
      <c r="G1634" s="40">
        <v>1</v>
      </c>
      <c r="H1634" s="39" t="s">
        <v>101</v>
      </c>
      <c r="I1634" s="39" t="s">
        <v>102</v>
      </c>
      <c r="J1634" s="41">
        <v>2500</v>
      </c>
      <c r="K1634" s="42">
        <v>20.5</v>
      </c>
      <c r="L1634" s="43"/>
      <c r="M1634" s="43">
        <f>L1634*K1634</f>
        <v>0</v>
      </c>
      <c r="N1634" s="35">
        <v>4690368030526</v>
      </c>
    </row>
    <row r="1635" spans="1:14" ht="36" customHeight="1" outlineLevel="3" x14ac:dyDescent="0.2">
      <c r="A1635" s="45">
        <v>15250</v>
      </c>
      <c r="B1635" s="37" t="str">
        <f>HYPERLINK("http://www.sedek.ru/upload/iblock/a00/salat_strely_amura.jpg","фото")</f>
        <v>фото</v>
      </c>
      <c r="C1635" s="38"/>
      <c r="D1635" s="38"/>
      <c r="E1635" s="39"/>
      <c r="F1635" s="39" t="s">
        <v>1984</v>
      </c>
      <c r="G1635" s="44">
        <v>0.5</v>
      </c>
      <c r="H1635" s="39" t="s">
        <v>101</v>
      </c>
      <c r="I1635" s="39" t="s">
        <v>102</v>
      </c>
      <c r="J1635" s="41">
        <v>3000</v>
      </c>
      <c r="K1635" s="42">
        <v>20.5</v>
      </c>
      <c r="L1635" s="43"/>
      <c r="M1635" s="43">
        <f>L1635*K1635</f>
        <v>0</v>
      </c>
      <c r="N1635" s="35">
        <v>4690368005944</v>
      </c>
    </row>
    <row r="1636" spans="1:14" ht="36" customHeight="1" outlineLevel="3" x14ac:dyDescent="0.2">
      <c r="A1636" s="45">
        <v>13835</v>
      </c>
      <c r="B1636" s="37" t="str">
        <f>HYPERLINK("http://sedek.ru/upload/iblock/ced/salat_tsikornyy_tatyana.jpg","фото")</f>
        <v>фото</v>
      </c>
      <c r="C1636" s="38"/>
      <c r="D1636" s="38"/>
      <c r="E1636" s="39"/>
      <c r="F1636" s="39" t="s">
        <v>1985</v>
      </c>
      <c r="G1636" s="44">
        <v>0.5</v>
      </c>
      <c r="H1636" s="39" t="s">
        <v>101</v>
      </c>
      <c r="I1636" s="39" t="s">
        <v>102</v>
      </c>
      <c r="J1636" s="41">
        <v>3000</v>
      </c>
      <c r="K1636" s="42">
        <v>20.5</v>
      </c>
      <c r="L1636" s="43"/>
      <c r="M1636" s="43">
        <f>L1636*K1636</f>
        <v>0</v>
      </c>
      <c r="N1636" s="35">
        <v>4690368017046</v>
      </c>
    </row>
    <row r="1637" spans="1:14" ht="36" customHeight="1" outlineLevel="3" x14ac:dyDescent="0.2">
      <c r="A1637" s="36" t="s">
        <v>1986</v>
      </c>
      <c r="B1637" s="37" t="str">
        <f>HYPERLINK("http://www.sedek.ru/upload/iblock/4a0/salat_udacha.jpg","фото")</f>
        <v>фото</v>
      </c>
      <c r="C1637" s="38"/>
      <c r="D1637" s="38"/>
      <c r="E1637" s="39"/>
      <c r="F1637" s="39" t="s">
        <v>1987</v>
      </c>
      <c r="G1637" s="44">
        <v>0.5</v>
      </c>
      <c r="H1637" s="39" t="s">
        <v>101</v>
      </c>
      <c r="I1637" s="39" t="s">
        <v>102</v>
      </c>
      <c r="J1637" s="41">
        <v>3000</v>
      </c>
      <c r="K1637" s="42">
        <v>20.6</v>
      </c>
      <c r="L1637" s="43"/>
      <c r="M1637" s="43">
        <f>L1637*K1637</f>
        <v>0</v>
      </c>
      <c r="N1637" s="35">
        <v>4690368026710</v>
      </c>
    </row>
    <row r="1638" spans="1:14" ht="36" customHeight="1" outlineLevel="3" x14ac:dyDescent="0.2">
      <c r="A1638" s="46">
        <v>16423</v>
      </c>
      <c r="B1638" s="47" t="str">
        <f>HYPERLINK("http://sedek.ru/upload/iblock/ff4/salat_kholodok.jpg","фото")</f>
        <v>фото</v>
      </c>
      <c r="C1638" s="48"/>
      <c r="D1638" s="48"/>
      <c r="E1638" s="49"/>
      <c r="F1638" s="49" t="s">
        <v>1988</v>
      </c>
      <c r="G1638" s="56">
        <v>0.5</v>
      </c>
      <c r="H1638" s="49" t="s">
        <v>101</v>
      </c>
      <c r="I1638" s="49" t="s">
        <v>102</v>
      </c>
      <c r="J1638" s="51">
        <v>3000</v>
      </c>
      <c r="K1638" s="52">
        <v>19.7</v>
      </c>
      <c r="L1638" s="53"/>
      <c r="M1638" s="53">
        <f>L1638*K1638</f>
        <v>0</v>
      </c>
      <c r="N1638" s="35">
        <v>4690368009669</v>
      </c>
    </row>
    <row r="1639" spans="1:14" ht="36" customHeight="1" outlineLevel="3" x14ac:dyDescent="0.2">
      <c r="A1639" s="45">
        <v>14627</v>
      </c>
      <c r="B1639" s="37" t="str">
        <f>HYPERLINK("http://sedek.ru/upload/iblock/08a/salat_khrust.jpg","фото")</f>
        <v>фото</v>
      </c>
      <c r="C1639" s="38"/>
      <c r="D1639" s="38"/>
      <c r="E1639" s="39"/>
      <c r="F1639" s="39" t="s">
        <v>1989</v>
      </c>
      <c r="G1639" s="44">
        <v>0.5</v>
      </c>
      <c r="H1639" s="39" t="s">
        <v>101</v>
      </c>
      <c r="I1639" s="39" t="s">
        <v>102</v>
      </c>
      <c r="J1639" s="41">
        <v>3000</v>
      </c>
      <c r="K1639" s="42">
        <v>20.5</v>
      </c>
      <c r="L1639" s="43"/>
      <c r="M1639" s="43">
        <f>L1639*K1639</f>
        <v>0</v>
      </c>
      <c r="N1639" s="35">
        <v>4690368009652</v>
      </c>
    </row>
    <row r="1640" spans="1:14" ht="24" customHeight="1" outlineLevel="3" x14ac:dyDescent="0.2">
      <c r="A1640" s="45">
        <v>15870</v>
      </c>
      <c r="B1640" s="37" t="str">
        <f>HYPERLINK("http://sedek.ru/upload/iblock/187/salat_shedevr_vkusa.jpg","фото")</f>
        <v>фото</v>
      </c>
      <c r="C1640" s="38"/>
      <c r="D1640" s="38"/>
      <c r="E1640" s="39"/>
      <c r="F1640" s="39" t="s">
        <v>1990</v>
      </c>
      <c r="G1640" s="40">
        <v>1</v>
      </c>
      <c r="H1640" s="39" t="s">
        <v>101</v>
      </c>
      <c r="I1640" s="39" t="s">
        <v>102</v>
      </c>
      <c r="J1640" s="41">
        <v>2500</v>
      </c>
      <c r="K1640" s="42">
        <v>20.5</v>
      </c>
      <c r="L1640" s="43"/>
      <c r="M1640" s="43">
        <f>L1640*K1640</f>
        <v>0</v>
      </c>
      <c r="N1640" s="35">
        <v>4607149403561</v>
      </c>
    </row>
    <row r="1641" spans="1:14" ht="12" customHeight="1" outlineLevel="2" x14ac:dyDescent="0.2">
      <c r="A1641" s="22"/>
      <c r="B1641" s="23"/>
      <c r="C1641" s="23"/>
      <c r="D1641" s="23"/>
      <c r="E1641" s="24"/>
      <c r="F1641" s="24" t="s">
        <v>1991</v>
      </c>
      <c r="G1641" s="24"/>
      <c r="H1641" s="24"/>
      <c r="I1641" s="24"/>
      <c r="J1641" s="24"/>
      <c r="K1641" s="24"/>
      <c r="L1641" s="24"/>
      <c r="M1641" s="24"/>
      <c r="N1641" s="25"/>
    </row>
    <row r="1642" spans="1:14" ht="24" customHeight="1" outlineLevel="3" x14ac:dyDescent="0.2">
      <c r="A1642" s="36" t="s">
        <v>1992</v>
      </c>
      <c r="B1642" s="37" t="str">
        <f>HYPERLINK("http://www.sedek.ru/upload/iblock/ff2/svekla_azhur_stolovaya.jpg","фото")</f>
        <v>фото</v>
      </c>
      <c r="C1642" s="38"/>
      <c r="D1642" s="38"/>
      <c r="E1642" s="39" t="s">
        <v>263</v>
      </c>
      <c r="F1642" s="39" t="s">
        <v>1993</v>
      </c>
      <c r="G1642" s="40">
        <v>2</v>
      </c>
      <c r="H1642" s="39" t="s">
        <v>101</v>
      </c>
      <c r="I1642" s="39" t="s">
        <v>102</v>
      </c>
      <c r="J1642" s="40">
        <v>800</v>
      </c>
      <c r="K1642" s="42">
        <v>20</v>
      </c>
      <c r="L1642" s="43"/>
      <c r="M1642" s="43">
        <f>L1642*K1642</f>
        <v>0</v>
      </c>
      <c r="N1642" s="35">
        <v>4690368030533</v>
      </c>
    </row>
    <row r="1643" spans="1:14" ht="36" customHeight="1" outlineLevel="3" x14ac:dyDescent="0.2">
      <c r="A1643" s="45">
        <v>13992</v>
      </c>
      <c r="B1643" s="37" t="str">
        <f>HYPERLINK("http://www.sedek.ru/upload/iblock/267/svekla_bagrovyy_shar.jpg","фото")</f>
        <v>фото</v>
      </c>
      <c r="C1643" s="38"/>
      <c r="D1643" s="38"/>
      <c r="E1643" s="39"/>
      <c r="F1643" s="39" t="s">
        <v>1994</v>
      </c>
      <c r="G1643" s="40">
        <v>3</v>
      </c>
      <c r="H1643" s="39" t="s">
        <v>101</v>
      </c>
      <c r="I1643" s="39" t="s">
        <v>102</v>
      </c>
      <c r="J1643" s="40">
        <v>800</v>
      </c>
      <c r="K1643" s="42">
        <v>22.3</v>
      </c>
      <c r="L1643" s="43"/>
      <c r="M1643" s="43">
        <f>L1643*K1643</f>
        <v>0</v>
      </c>
      <c r="N1643" s="35">
        <v>4607015189605</v>
      </c>
    </row>
    <row r="1644" spans="1:14" ht="24" customHeight="1" outlineLevel="3" x14ac:dyDescent="0.2">
      <c r="A1644" s="45">
        <v>13992</v>
      </c>
      <c r="B1644" s="37" t="str">
        <f>HYPERLINK("http://www.sedek.ru/upload/iblock/267/svekla_bagrovyy_shar.jpg","фото")</f>
        <v>фото</v>
      </c>
      <c r="C1644" s="38"/>
      <c r="D1644" s="38"/>
      <c r="E1644" s="39"/>
      <c r="F1644" s="39" t="s">
        <v>1995</v>
      </c>
      <c r="G1644" s="40">
        <v>2</v>
      </c>
      <c r="H1644" s="39" t="s">
        <v>101</v>
      </c>
      <c r="I1644" s="39" t="s">
        <v>287</v>
      </c>
      <c r="J1644" s="40">
        <v>800</v>
      </c>
      <c r="K1644" s="42">
        <v>10.6</v>
      </c>
      <c r="L1644" s="43"/>
      <c r="M1644" s="43">
        <f>L1644*K1644</f>
        <v>0</v>
      </c>
      <c r="N1644" s="35">
        <v>4690368005326</v>
      </c>
    </row>
    <row r="1645" spans="1:14" ht="24" customHeight="1" outlineLevel="3" x14ac:dyDescent="0.2">
      <c r="A1645" s="45">
        <v>13756</v>
      </c>
      <c r="B1645" s="37" t="str">
        <f>HYPERLINK("http://sedek.ru/upload/iblock/a4b/svekla_boro_f1.jpg","фото")</f>
        <v>фото</v>
      </c>
      <c r="C1645" s="38"/>
      <c r="D1645" s="38"/>
      <c r="E1645" s="39"/>
      <c r="F1645" s="39" t="s">
        <v>1996</v>
      </c>
      <c r="G1645" s="40">
        <v>50</v>
      </c>
      <c r="H1645" s="39" t="s">
        <v>307</v>
      </c>
      <c r="I1645" s="39" t="s">
        <v>102</v>
      </c>
      <c r="J1645" s="40">
        <v>800</v>
      </c>
      <c r="K1645" s="42">
        <v>30.3</v>
      </c>
      <c r="L1645" s="43"/>
      <c r="M1645" s="43">
        <f>L1645*K1645</f>
        <v>0</v>
      </c>
      <c r="N1645" s="35">
        <v>4607149400508</v>
      </c>
    </row>
    <row r="1646" spans="1:14" ht="36" customHeight="1" outlineLevel="3" x14ac:dyDescent="0.2">
      <c r="A1646" s="45">
        <v>14551</v>
      </c>
      <c r="B1646" s="37" t="str">
        <f>HYPERLINK("http://www.sedek.ru/upload/iblock/a30/svekla_glob.JPG","фото")</f>
        <v>фото</v>
      </c>
      <c r="C1646" s="38"/>
      <c r="D1646" s="38"/>
      <c r="E1646" s="39"/>
      <c r="F1646" s="39" t="s">
        <v>1997</v>
      </c>
      <c r="G1646" s="40">
        <v>3</v>
      </c>
      <c r="H1646" s="39" t="s">
        <v>101</v>
      </c>
      <c r="I1646" s="39" t="s">
        <v>102</v>
      </c>
      <c r="J1646" s="40">
        <v>800</v>
      </c>
      <c r="K1646" s="42">
        <v>25.3</v>
      </c>
      <c r="L1646" s="43"/>
      <c r="M1646" s="43">
        <f>L1646*K1646</f>
        <v>0</v>
      </c>
      <c r="N1646" s="35">
        <v>4607015189629</v>
      </c>
    </row>
    <row r="1647" spans="1:14" ht="24" customHeight="1" outlineLevel="3" x14ac:dyDescent="0.2">
      <c r="A1647" s="45">
        <v>15407</v>
      </c>
      <c r="B1647" s="37" t="str">
        <f>HYPERLINK("http://sedek.ru/upload/iblock/b32/svekla_dachnitsa.jpg","фото")</f>
        <v>фото</v>
      </c>
      <c r="C1647" s="38"/>
      <c r="D1647" s="38"/>
      <c r="E1647" s="39"/>
      <c r="F1647" s="39" t="s">
        <v>1998</v>
      </c>
      <c r="G1647" s="40">
        <v>3</v>
      </c>
      <c r="H1647" s="39" t="s">
        <v>101</v>
      </c>
      <c r="I1647" s="39" t="s">
        <v>102</v>
      </c>
      <c r="J1647" s="40">
        <v>800</v>
      </c>
      <c r="K1647" s="42">
        <v>20.5</v>
      </c>
      <c r="L1647" s="43"/>
      <c r="M1647" s="43">
        <f>L1647*K1647</f>
        <v>0</v>
      </c>
      <c r="N1647" s="35">
        <v>4690368009683</v>
      </c>
    </row>
    <row r="1648" spans="1:14" ht="24" customHeight="1" outlineLevel="3" x14ac:dyDescent="0.2">
      <c r="A1648" s="45">
        <v>15407</v>
      </c>
      <c r="B1648" s="37" t="str">
        <f>HYPERLINK("http://sedek.ru/upload/iblock/b32/svekla_dachnitsa.jpg","фото")</f>
        <v>фото</v>
      </c>
      <c r="C1648" s="38"/>
      <c r="D1648" s="38"/>
      <c r="E1648" s="39"/>
      <c r="F1648" s="39" t="s">
        <v>1999</v>
      </c>
      <c r="G1648" s="40">
        <v>3</v>
      </c>
      <c r="H1648" s="39" t="s">
        <v>101</v>
      </c>
      <c r="I1648" s="39" t="s">
        <v>287</v>
      </c>
      <c r="J1648" s="40">
        <v>800</v>
      </c>
      <c r="K1648" s="42">
        <v>8</v>
      </c>
      <c r="L1648" s="43"/>
      <c r="M1648" s="43">
        <f>L1648*K1648</f>
        <v>0</v>
      </c>
      <c r="N1648" s="35">
        <v>4690368012188</v>
      </c>
    </row>
    <row r="1649" spans="1:14" ht="24" customHeight="1" outlineLevel="3" x14ac:dyDescent="0.2">
      <c r="A1649" s="45">
        <v>15381</v>
      </c>
      <c r="B1649" s="37" t="str">
        <f>HYPERLINK("http://sedek.ru/upload/iblock/f27/svekla_dasha_f1.jpg","фото")</f>
        <v>фото</v>
      </c>
      <c r="C1649" s="38"/>
      <c r="D1649" s="38"/>
      <c r="E1649" s="39"/>
      <c r="F1649" s="39" t="s">
        <v>2000</v>
      </c>
      <c r="G1649" s="40">
        <v>3</v>
      </c>
      <c r="H1649" s="39"/>
      <c r="I1649" s="39" t="s">
        <v>102</v>
      </c>
      <c r="J1649" s="40">
        <v>800</v>
      </c>
      <c r="K1649" s="42">
        <v>20.5</v>
      </c>
      <c r="L1649" s="43"/>
      <c r="M1649" s="43">
        <f>L1649*K1649</f>
        <v>0</v>
      </c>
      <c r="N1649" s="35">
        <v>4607149403646</v>
      </c>
    </row>
    <row r="1650" spans="1:14" ht="24" customHeight="1" outlineLevel="3" x14ac:dyDescent="0.2">
      <c r="A1650" s="45">
        <v>15381</v>
      </c>
      <c r="B1650" s="37" t="str">
        <f>HYPERLINK("http://sedek.ru/upload/iblock/f27/svekla_dasha_f1.jpg","фото")</f>
        <v>фото</v>
      </c>
      <c r="C1650" s="38"/>
      <c r="D1650" s="38"/>
      <c r="E1650" s="39"/>
      <c r="F1650" s="39" t="s">
        <v>2001</v>
      </c>
      <c r="G1650" s="40">
        <v>2</v>
      </c>
      <c r="H1650" s="39" t="s">
        <v>101</v>
      </c>
      <c r="I1650" s="39" t="s">
        <v>287</v>
      </c>
      <c r="J1650" s="40">
        <v>800</v>
      </c>
      <c r="K1650" s="42">
        <v>8</v>
      </c>
      <c r="L1650" s="43"/>
      <c r="M1650" s="43">
        <f>L1650*K1650</f>
        <v>0</v>
      </c>
      <c r="N1650" s="35">
        <v>4690368044059</v>
      </c>
    </row>
    <row r="1651" spans="1:14" ht="24" customHeight="1" outlineLevel="3" x14ac:dyDescent="0.2">
      <c r="A1651" s="45">
        <v>15681</v>
      </c>
      <c r="B1651" s="37" t="str">
        <f>HYPERLINK("http://sedek.ru/upload/iblock/7e1/svekla_dvusemyannaya_tskha.jpg","фото")</f>
        <v>фото</v>
      </c>
      <c r="C1651" s="38"/>
      <c r="D1651" s="38"/>
      <c r="E1651" s="39"/>
      <c r="F1651" s="39" t="s">
        <v>2002</v>
      </c>
      <c r="G1651" s="40">
        <v>3</v>
      </c>
      <c r="H1651" s="39" t="s">
        <v>101</v>
      </c>
      <c r="I1651" s="39" t="s">
        <v>102</v>
      </c>
      <c r="J1651" s="40">
        <v>800</v>
      </c>
      <c r="K1651" s="42">
        <v>15.6</v>
      </c>
      <c r="L1651" s="43"/>
      <c r="M1651" s="43">
        <f>L1651*K1651</f>
        <v>0</v>
      </c>
      <c r="N1651" s="35">
        <v>4607015189636</v>
      </c>
    </row>
    <row r="1652" spans="1:14" ht="24" customHeight="1" outlineLevel="3" x14ac:dyDescent="0.2">
      <c r="A1652" s="45">
        <v>15681</v>
      </c>
      <c r="B1652" s="37" t="str">
        <f>HYPERLINK("http://sedek.ru/upload/iblock/7e1/svekla_dvusemyannaya_tskha.jpg","фото")</f>
        <v>фото</v>
      </c>
      <c r="C1652" s="38"/>
      <c r="D1652" s="38"/>
      <c r="E1652" s="39"/>
      <c r="F1652" s="39" t="s">
        <v>2003</v>
      </c>
      <c r="G1652" s="40">
        <v>3</v>
      </c>
      <c r="H1652" s="39" t="s">
        <v>101</v>
      </c>
      <c r="I1652" s="39" t="s">
        <v>287</v>
      </c>
      <c r="J1652" s="40">
        <v>800</v>
      </c>
      <c r="K1652" s="42">
        <v>7.4</v>
      </c>
      <c r="L1652" s="43"/>
      <c r="M1652" s="43">
        <f>L1652*K1652</f>
        <v>0</v>
      </c>
      <c r="N1652" s="35">
        <v>4690368011563</v>
      </c>
    </row>
    <row r="1653" spans="1:14" ht="24" customHeight="1" outlineLevel="3" x14ac:dyDescent="0.2">
      <c r="A1653" s="45">
        <v>14820</v>
      </c>
      <c r="B1653" s="37" t="str">
        <f>HYPERLINK("http://www.sedek.ru/upload/iblock/573/svekla_detroyt.jpg","фото")</f>
        <v>фото</v>
      </c>
      <c r="C1653" s="38"/>
      <c r="D1653" s="38"/>
      <c r="E1653" s="39"/>
      <c r="F1653" s="39" t="s">
        <v>2004</v>
      </c>
      <c r="G1653" s="40">
        <v>3</v>
      </c>
      <c r="H1653" s="39" t="s">
        <v>101</v>
      </c>
      <c r="I1653" s="39" t="s">
        <v>102</v>
      </c>
      <c r="J1653" s="40">
        <v>800</v>
      </c>
      <c r="K1653" s="42">
        <v>15.6</v>
      </c>
      <c r="L1653" s="43"/>
      <c r="M1653" s="43">
        <f>L1653*K1653</f>
        <v>0</v>
      </c>
      <c r="N1653" s="35">
        <v>4607015189643</v>
      </c>
    </row>
    <row r="1654" spans="1:14" ht="24" customHeight="1" outlineLevel="3" x14ac:dyDescent="0.2">
      <c r="A1654" s="45">
        <v>14665</v>
      </c>
      <c r="B1654" s="37" t="str">
        <f>HYPERLINK("http://sedek.ru/upload/iblock/dcb/svekla_donna.jpg","фото")</f>
        <v>фото</v>
      </c>
      <c r="C1654" s="38"/>
      <c r="D1654" s="38"/>
      <c r="E1654" s="39"/>
      <c r="F1654" s="39" t="s">
        <v>2005</v>
      </c>
      <c r="G1654" s="40">
        <v>3</v>
      </c>
      <c r="H1654" s="39" t="s">
        <v>101</v>
      </c>
      <c r="I1654" s="39" t="s">
        <v>102</v>
      </c>
      <c r="J1654" s="40">
        <v>800</v>
      </c>
      <c r="K1654" s="42">
        <v>20.6</v>
      </c>
      <c r="L1654" s="43"/>
      <c r="M1654" s="43">
        <f>L1654*K1654</f>
        <v>0</v>
      </c>
      <c r="N1654" s="35">
        <v>4607015189650</v>
      </c>
    </row>
    <row r="1655" spans="1:14" ht="36" customHeight="1" outlineLevel="3" x14ac:dyDescent="0.2">
      <c r="A1655" s="45">
        <v>15559</v>
      </c>
      <c r="B1655" s="37" t="str">
        <f>HYPERLINK("http://www.sedek.ru/upload/iblock/23f/svekla_egipetskaya_ploskaya.jpg","фото")</f>
        <v>фото</v>
      </c>
      <c r="C1655" s="38"/>
      <c r="D1655" s="38"/>
      <c r="E1655" s="39"/>
      <c r="F1655" s="39" t="s">
        <v>2006</v>
      </c>
      <c r="G1655" s="40">
        <v>3</v>
      </c>
      <c r="H1655" s="39" t="s">
        <v>101</v>
      </c>
      <c r="I1655" s="39" t="s">
        <v>102</v>
      </c>
      <c r="J1655" s="40">
        <v>800</v>
      </c>
      <c r="K1655" s="42">
        <v>16.899999999999999</v>
      </c>
      <c r="L1655" s="43"/>
      <c r="M1655" s="43">
        <f>L1655*K1655</f>
        <v>0</v>
      </c>
      <c r="N1655" s="35">
        <v>4607015189667</v>
      </c>
    </row>
    <row r="1656" spans="1:14" ht="24" customHeight="1" outlineLevel="3" x14ac:dyDescent="0.2">
      <c r="A1656" s="46">
        <v>13498</v>
      </c>
      <c r="B1656" s="47" t="str">
        <f>HYPERLINK("http://www.sedek.ru/upload/iblock/f57/svekla_ideal.JPG","фото")</f>
        <v>фото</v>
      </c>
      <c r="C1656" s="48"/>
      <c r="D1656" s="48"/>
      <c r="E1656" s="49"/>
      <c r="F1656" s="49" t="s">
        <v>2007</v>
      </c>
      <c r="G1656" s="50">
        <v>3</v>
      </c>
      <c r="H1656" s="49" t="s">
        <v>101</v>
      </c>
      <c r="I1656" s="49" t="s">
        <v>102</v>
      </c>
      <c r="J1656" s="50">
        <v>800</v>
      </c>
      <c r="K1656" s="52">
        <v>19.100000000000001</v>
      </c>
      <c r="L1656" s="53"/>
      <c r="M1656" s="53">
        <f>L1656*K1656</f>
        <v>0</v>
      </c>
      <c r="N1656" s="35">
        <v>4607015189674</v>
      </c>
    </row>
    <row r="1657" spans="1:14" ht="36" customHeight="1" outlineLevel="3" x14ac:dyDescent="0.2">
      <c r="A1657" s="36" t="s">
        <v>2008</v>
      </c>
      <c r="B1657" s="39" t="str">
        <f>HYPERLINK("http://www.sedek.ru/upload/iblock/3f0/svekla_karamelnaya_stolovaya.jpg
","фото")</f>
        <v>фото</v>
      </c>
      <c r="C1657" s="38"/>
      <c r="D1657" s="38"/>
      <c r="E1657" s="39"/>
      <c r="F1657" s="39" t="s">
        <v>2009</v>
      </c>
      <c r="G1657" s="40">
        <v>1</v>
      </c>
      <c r="H1657" s="39" t="s">
        <v>101</v>
      </c>
      <c r="I1657" s="39" t="s">
        <v>102</v>
      </c>
      <c r="J1657" s="40">
        <v>800</v>
      </c>
      <c r="K1657" s="42">
        <v>20.6</v>
      </c>
      <c r="L1657" s="43"/>
      <c r="M1657" s="43">
        <f>L1657*K1657</f>
        <v>0</v>
      </c>
      <c r="N1657" s="35">
        <v>4690368032728</v>
      </c>
    </row>
    <row r="1658" spans="1:14" ht="24" customHeight="1" outlineLevel="3" x14ac:dyDescent="0.2">
      <c r="A1658" s="45">
        <v>15061</v>
      </c>
      <c r="B1658" s="37" t="str">
        <f>HYPERLINK("http://sedek.ru/upload/iblock/0c5/svekla_katya_f1.jpg","фото")</f>
        <v>фото</v>
      </c>
      <c r="C1658" s="38"/>
      <c r="D1658" s="38"/>
      <c r="E1658" s="39"/>
      <c r="F1658" s="39" t="s">
        <v>2010</v>
      </c>
      <c r="G1658" s="40">
        <v>1</v>
      </c>
      <c r="H1658" s="39" t="s">
        <v>101</v>
      </c>
      <c r="I1658" s="39" t="s">
        <v>102</v>
      </c>
      <c r="J1658" s="40">
        <v>800</v>
      </c>
      <c r="K1658" s="42">
        <v>20.5</v>
      </c>
      <c r="L1658" s="43"/>
      <c r="M1658" s="43">
        <f>L1658*K1658</f>
        <v>0</v>
      </c>
      <c r="N1658" s="35">
        <v>4607149406357</v>
      </c>
    </row>
    <row r="1659" spans="1:14" ht="24" customHeight="1" outlineLevel="3" x14ac:dyDescent="0.2">
      <c r="A1659" s="36" t="s">
        <v>2011</v>
      </c>
      <c r="B1659" s="37" t="str">
        <f>HYPERLINK("http://sedek.ru/upload/iblock/4b4/svekla_komandor.jpg","фото")</f>
        <v>фото</v>
      </c>
      <c r="C1659" s="38"/>
      <c r="D1659" s="38"/>
      <c r="E1659" s="39"/>
      <c r="F1659" s="39" t="s">
        <v>2012</v>
      </c>
      <c r="G1659" s="40">
        <v>1</v>
      </c>
      <c r="H1659" s="39" t="s">
        <v>101</v>
      </c>
      <c r="I1659" s="39" t="s">
        <v>102</v>
      </c>
      <c r="J1659" s="40">
        <v>800</v>
      </c>
      <c r="K1659" s="42">
        <v>21</v>
      </c>
      <c r="L1659" s="43"/>
      <c r="M1659" s="43">
        <f>L1659*K1659</f>
        <v>0</v>
      </c>
      <c r="N1659" s="35">
        <v>4690368026505</v>
      </c>
    </row>
    <row r="1660" spans="1:14" ht="24" customHeight="1" outlineLevel="3" x14ac:dyDescent="0.2">
      <c r="A1660" s="36" t="s">
        <v>2011</v>
      </c>
      <c r="B1660" s="37" t="str">
        <f>HYPERLINK("http://sedek.ru/upload/iblock/4b4/svekla_komandor.jpg","фото")</f>
        <v>фото</v>
      </c>
      <c r="C1660" s="38"/>
      <c r="D1660" s="38"/>
      <c r="E1660" s="39"/>
      <c r="F1660" s="39" t="s">
        <v>2013</v>
      </c>
      <c r="G1660" s="40">
        <v>2</v>
      </c>
      <c r="H1660" s="39"/>
      <c r="I1660" s="39" t="s">
        <v>102</v>
      </c>
      <c r="J1660" s="40">
        <v>800</v>
      </c>
      <c r="K1660" s="42">
        <v>21</v>
      </c>
      <c r="L1660" s="43"/>
      <c r="M1660" s="43">
        <f>L1660*K1660</f>
        <v>0</v>
      </c>
      <c r="N1660" s="35">
        <v>4690368026505</v>
      </c>
    </row>
    <row r="1661" spans="1:14" ht="24" customHeight="1" outlineLevel="3" x14ac:dyDescent="0.2">
      <c r="A1661" s="45">
        <v>16377</v>
      </c>
      <c r="B1661" s="37" t="str">
        <f>HYPERLINK("http://sedek.ru/upload/iblock/d26/svekla_kormovaya_zhyeltaya.jpg","фото")</f>
        <v>фото</v>
      </c>
      <c r="C1661" s="38"/>
      <c r="D1661" s="38"/>
      <c r="E1661" s="39"/>
      <c r="F1661" s="39" t="s">
        <v>2014</v>
      </c>
      <c r="G1661" s="40">
        <v>3</v>
      </c>
      <c r="H1661" s="39" t="s">
        <v>101</v>
      </c>
      <c r="I1661" s="39" t="s">
        <v>102</v>
      </c>
      <c r="J1661" s="40">
        <v>800</v>
      </c>
      <c r="K1661" s="42">
        <v>19.3</v>
      </c>
      <c r="L1661" s="43"/>
      <c r="M1661" s="43">
        <f>L1661*K1661</f>
        <v>0</v>
      </c>
      <c r="N1661" s="35">
        <v>4607015189681</v>
      </c>
    </row>
    <row r="1662" spans="1:14" ht="36" customHeight="1" outlineLevel="3" x14ac:dyDescent="0.2">
      <c r="A1662" s="45">
        <v>13738</v>
      </c>
      <c r="B1662" s="37" t="str">
        <f>HYPERLINK("http://sedek.ru/upload/iblock/341/svekla_krasnyy_shar_uluchshennyy.jpg","фото")</f>
        <v>фото</v>
      </c>
      <c r="C1662" s="38"/>
      <c r="D1662" s="38"/>
      <c r="E1662" s="39"/>
      <c r="F1662" s="39" t="s">
        <v>2015</v>
      </c>
      <c r="G1662" s="40">
        <v>3</v>
      </c>
      <c r="H1662" s="39" t="s">
        <v>101</v>
      </c>
      <c r="I1662" s="39" t="s">
        <v>102</v>
      </c>
      <c r="J1662" s="40">
        <v>800</v>
      </c>
      <c r="K1662" s="42">
        <v>20.5</v>
      </c>
      <c r="L1662" s="43"/>
      <c r="M1662" s="43">
        <f>L1662*K1662</f>
        <v>0</v>
      </c>
      <c r="N1662" s="35">
        <v>4607015189698</v>
      </c>
    </row>
    <row r="1663" spans="1:14" ht="36" customHeight="1" outlineLevel="3" x14ac:dyDescent="0.2">
      <c r="A1663" s="45">
        <v>15600</v>
      </c>
      <c r="B1663" s="37" t="str">
        <f>HYPERLINK("http://sedek.ru/upload/iblock/f9f/svekla_krosbi.jpg","фото")</f>
        <v>фото</v>
      </c>
      <c r="C1663" s="38"/>
      <c r="D1663" s="38"/>
      <c r="E1663" s="39"/>
      <c r="F1663" s="39" t="s">
        <v>2016</v>
      </c>
      <c r="G1663" s="40">
        <v>3</v>
      </c>
      <c r="H1663" s="39" t="s">
        <v>101</v>
      </c>
      <c r="I1663" s="39" t="s">
        <v>102</v>
      </c>
      <c r="J1663" s="40">
        <v>800</v>
      </c>
      <c r="K1663" s="42">
        <v>20.5</v>
      </c>
      <c r="L1663" s="43"/>
      <c r="M1663" s="43">
        <f>L1663*K1663</f>
        <v>0</v>
      </c>
      <c r="N1663" s="35">
        <v>4607015189704</v>
      </c>
    </row>
    <row r="1664" spans="1:14" ht="36" customHeight="1" outlineLevel="3" x14ac:dyDescent="0.2">
      <c r="A1664" s="45">
        <v>15807</v>
      </c>
      <c r="B1664" s="37" t="str">
        <f>HYPERLINK("http://sedek.ru/upload/iblock/249/svekla_kubanskaya_borshchevaya_43.jpg","фото")</f>
        <v>фото</v>
      </c>
      <c r="C1664" s="38"/>
      <c r="D1664" s="38"/>
      <c r="E1664" s="39"/>
      <c r="F1664" s="39" t="s">
        <v>2017</v>
      </c>
      <c r="G1664" s="40">
        <v>3</v>
      </c>
      <c r="H1664" s="39" t="s">
        <v>101</v>
      </c>
      <c r="I1664" s="39" t="s">
        <v>102</v>
      </c>
      <c r="J1664" s="40">
        <v>800</v>
      </c>
      <c r="K1664" s="42">
        <v>21</v>
      </c>
      <c r="L1664" s="43"/>
      <c r="M1664" s="43">
        <f>L1664*K1664</f>
        <v>0</v>
      </c>
      <c r="N1664" s="35">
        <v>4690368008020</v>
      </c>
    </row>
    <row r="1665" spans="1:14" ht="24" customHeight="1" outlineLevel="3" x14ac:dyDescent="0.2">
      <c r="A1665" s="45">
        <v>16530</v>
      </c>
      <c r="B1665" s="37" t="str">
        <f>HYPERLINK("http://sedek.ru/upload/iblock/eef/svekla_madam_ruzhett.jpg","фото")</f>
        <v>фото</v>
      </c>
      <c r="C1665" s="38"/>
      <c r="D1665" s="38"/>
      <c r="E1665" s="39"/>
      <c r="F1665" s="39" t="s">
        <v>2018</v>
      </c>
      <c r="G1665" s="40">
        <v>3</v>
      </c>
      <c r="H1665" s="39" t="s">
        <v>101</v>
      </c>
      <c r="I1665" s="39" t="s">
        <v>102</v>
      </c>
      <c r="J1665" s="40">
        <v>800</v>
      </c>
      <c r="K1665" s="42">
        <v>30.3</v>
      </c>
      <c r="L1665" s="43"/>
      <c r="M1665" s="43">
        <f>L1665*K1665</f>
        <v>0</v>
      </c>
      <c r="N1665" s="35">
        <v>4607015189711</v>
      </c>
    </row>
    <row r="1666" spans="1:14" ht="24" customHeight="1" outlineLevel="3" x14ac:dyDescent="0.2">
      <c r="A1666" s="45">
        <v>16530</v>
      </c>
      <c r="B1666" s="37" t="str">
        <f>HYPERLINK("http://sedek.ru/upload/iblock/eef/svekla_madam_ruzhett.jpg","фото")</f>
        <v>фото</v>
      </c>
      <c r="C1666" s="38"/>
      <c r="D1666" s="38"/>
      <c r="E1666" s="39"/>
      <c r="F1666" s="39" t="s">
        <v>2019</v>
      </c>
      <c r="G1666" s="40">
        <v>2</v>
      </c>
      <c r="H1666" s="39" t="s">
        <v>101</v>
      </c>
      <c r="I1666" s="39" t="s">
        <v>287</v>
      </c>
      <c r="J1666" s="40">
        <v>800</v>
      </c>
      <c r="K1666" s="42">
        <v>14.5</v>
      </c>
      <c r="L1666" s="43"/>
      <c r="M1666" s="43">
        <f>L1666*K1666</f>
        <v>0</v>
      </c>
      <c r="N1666" s="35">
        <v>4607149408504</v>
      </c>
    </row>
    <row r="1667" spans="1:14" ht="24" customHeight="1" outlineLevel="3" x14ac:dyDescent="0.2">
      <c r="A1667" s="55" t="s">
        <v>2020</v>
      </c>
      <c r="B1667" s="47" t="str">
        <f>HYPERLINK("http://www.sedek.ru/upload/iblock/e00/cvekla_mazhor_f1_stolovaya.jpg","фото")</f>
        <v>фото</v>
      </c>
      <c r="C1667" s="48"/>
      <c r="D1667" s="48"/>
      <c r="E1667" s="49"/>
      <c r="F1667" s="49" t="s">
        <v>2021</v>
      </c>
      <c r="G1667" s="50">
        <v>1</v>
      </c>
      <c r="H1667" s="49" t="s">
        <v>101</v>
      </c>
      <c r="I1667" s="49" t="s">
        <v>102</v>
      </c>
      <c r="J1667" s="50">
        <v>800</v>
      </c>
      <c r="K1667" s="52">
        <v>25</v>
      </c>
      <c r="L1667" s="53"/>
      <c r="M1667" s="53">
        <f>L1667*K1667</f>
        <v>0</v>
      </c>
      <c r="N1667" s="35">
        <v>4690368031400</v>
      </c>
    </row>
    <row r="1668" spans="1:14" ht="24" customHeight="1" outlineLevel="3" x14ac:dyDescent="0.2">
      <c r="A1668" s="45">
        <v>15493</v>
      </c>
      <c r="B1668" s="37" t="str">
        <f>HYPERLINK("http://sedek.ru/upload/iblock/6de/svekla_matrena.jpg","фото")</f>
        <v>фото</v>
      </c>
      <c r="C1668" s="38"/>
      <c r="D1668" s="38"/>
      <c r="E1668" s="39"/>
      <c r="F1668" s="39" t="s">
        <v>2022</v>
      </c>
      <c r="G1668" s="40">
        <v>3</v>
      </c>
      <c r="H1668" s="39" t="s">
        <v>101</v>
      </c>
      <c r="I1668" s="39" t="s">
        <v>102</v>
      </c>
      <c r="J1668" s="40">
        <v>800</v>
      </c>
      <c r="K1668" s="42">
        <v>21</v>
      </c>
      <c r="L1668" s="43"/>
      <c r="M1668" s="43">
        <f>L1668*K1668</f>
        <v>0</v>
      </c>
      <c r="N1668" s="35">
        <v>4690368008228</v>
      </c>
    </row>
    <row r="1669" spans="1:14" ht="36" customHeight="1" outlineLevel="3" x14ac:dyDescent="0.2">
      <c r="A1669" s="46">
        <v>15683</v>
      </c>
      <c r="B1669" s="47" t="str">
        <f>HYPERLINK("http://sedek.ru/upload/iblock/9c0/svekla_matrona_sedek.jpg","фото")</f>
        <v>фото</v>
      </c>
      <c r="C1669" s="48"/>
      <c r="D1669" s="48"/>
      <c r="E1669" s="49"/>
      <c r="F1669" s="49" t="s">
        <v>2023</v>
      </c>
      <c r="G1669" s="50">
        <v>3</v>
      </c>
      <c r="H1669" s="49" t="s">
        <v>101</v>
      </c>
      <c r="I1669" s="49" t="s">
        <v>102</v>
      </c>
      <c r="J1669" s="50">
        <v>800</v>
      </c>
      <c r="K1669" s="52">
        <v>19</v>
      </c>
      <c r="L1669" s="53"/>
      <c r="M1669" s="53">
        <f>L1669*K1669</f>
        <v>0</v>
      </c>
      <c r="N1669" s="35">
        <v>4607015189728</v>
      </c>
    </row>
    <row r="1670" spans="1:14" ht="36" customHeight="1" outlineLevel="3" x14ac:dyDescent="0.2">
      <c r="A1670" s="36" t="s">
        <v>2024</v>
      </c>
      <c r="B1670" s="37" t="str">
        <f>HYPERLINK("http://sedek.ru/upload/iblock/132/svekla_milana_f1.jpg","фото")</f>
        <v>фото</v>
      </c>
      <c r="C1670" s="38"/>
      <c r="D1670" s="38"/>
      <c r="E1670" s="39"/>
      <c r="F1670" s="39" t="s">
        <v>2025</v>
      </c>
      <c r="G1670" s="40">
        <v>1</v>
      </c>
      <c r="H1670" s="39" t="s">
        <v>101</v>
      </c>
      <c r="I1670" s="39" t="s">
        <v>102</v>
      </c>
      <c r="J1670" s="40">
        <v>800</v>
      </c>
      <c r="K1670" s="42">
        <v>20</v>
      </c>
      <c r="L1670" s="43"/>
      <c r="M1670" s="43">
        <f>L1670*K1670</f>
        <v>0</v>
      </c>
      <c r="N1670" s="35">
        <v>4690368026659</v>
      </c>
    </row>
    <row r="1671" spans="1:14" ht="36" customHeight="1" outlineLevel="3" x14ac:dyDescent="0.2">
      <c r="A1671" s="45">
        <v>15905</v>
      </c>
      <c r="B1671" s="37" t="str">
        <f>HYPERLINK("http://sedek.ru/upload/iblock/f7a/svekla_nesravnennaya_a_463.JPG","фото")</f>
        <v>фото</v>
      </c>
      <c r="C1671" s="38"/>
      <c r="D1671" s="38"/>
      <c r="E1671" s="39"/>
      <c r="F1671" s="39" t="s">
        <v>2026</v>
      </c>
      <c r="G1671" s="40">
        <v>3</v>
      </c>
      <c r="H1671" s="39" t="s">
        <v>101</v>
      </c>
      <c r="I1671" s="39" t="s">
        <v>102</v>
      </c>
      <c r="J1671" s="40">
        <v>800</v>
      </c>
      <c r="K1671" s="42">
        <v>20.5</v>
      </c>
      <c r="L1671" s="43"/>
      <c r="M1671" s="43">
        <f>L1671*K1671</f>
        <v>0</v>
      </c>
      <c r="N1671" s="35">
        <v>4690368008037</v>
      </c>
    </row>
    <row r="1672" spans="1:14" ht="24" customHeight="1" outlineLevel="3" x14ac:dyDescent="0.2">
      <c r="A1672" s="45">
        <v>14746</v>
      </c>
      <c r="B1672" s="37" t="str">
        <f>HYPERLINK("http://sedek.ru/upload/iblock/888/svekla_odnorostkovaya.JPG","фото")</f>
        <v>фото</v>
      </c>
      <c r="C1672" s="38"/>
      <c r="D1672" s="38"/>
      <c r="E1672" s="39"/>
      <c r="F1672" s="39" t="s">
        <v>2027</v>
      </c>
      <c r="G1672" s="40">
        <v>3</v>
      </c>
      <c r="H1672" s="39" t="s">
        <v>101</v>
      </c>
      <c r="I1672" s="39" t="s">
        <v>102</v>
      </c>
      <c r="J1672" s="40">
        <v>800</v>
      </c>
      <c r="K1672" s="42">
        <v>15.6</v>
      </c>
      <c r="L1672" s="43"/>
      <c r="M1672" s="43">
        <f>L1672*K1672</f>
        <v>0</v>
      </c>
      <c r="N1672" s="35">
        <v>4607116267905</v>
      </c>
    </row>
    <row r="1673" spans="1:14" ht="24" customHeight="1" outlineLevel="3" x14ac:dyDescent="0.2">
      <c r="A1673" s="45">
        <v>14043</v>
      </c>
      <c r="B1673" s="37" t="str">
        <f>HYPERLINK("http://sedek.ru/upload/iblock/853/svekla_pablo_f1.jpg","фото")</f>
        <v>фото</v>
      </c>
      <c r="C1673" s="38"/>
      <c r="D1673" s="38"/>
      <c r="E1673" s="39"/>
      <c r="F1673" s="39" t="s">
        <v>2028</v>
      </c>
      <c r="G1673" s="44">
        <v>0.5</v>
      </c>
      <c r="H1673" s="39" t="s">
        <v>101</v>
      </c>
      <c r="I1673" s="39" t="s">
        <v>102</v>
      </c>
      <c r="J1673" s="40">
        <v>800</v>
      </c>
      <c r="K1673" s="42">
        <v>27.7</v>
      </c>
      <c r="L1673" s="43"/>
      <c r="M1673" s="43">
        <f>L1673*K1673</f>
        <v>0</v>
      </c>
      <c r="N1673" s="35">
        <v>4607149400492</v>
      </c>
    </row>
    <row r="1674" spans="1:14" ht="36" customHeight="1" outlineLevel="3" x14ac:dyDescent="0.2">
      <c r="A1674" s="45">
        <v>16184</v>
      </c>
      <c r="B1674" s="37" t="str">
        <f>HYPERLINK("http://sedek.ru/upload/iblock/d9f/svekla_patrik.jpg","фото")</f>
        <v>фото</v>
      </c>
      <c r="C1674" s="38"/>
      <c r="D1674" s="38"/>
      <c r="E1674" s="39"/>
      <c r="F1674" s="39" t="s">
        <v>2029</v>
      </c>
      <c r="G1674" s="40">
        <v>3</v>
      </c>
      <c r="H1674" s="39" t="s">
        <v>101</v>
      </c>
      <c r="I1674" s="39" t="s">
        <v>102</v>
      </c>
      <c r="J1674" s="40">
        <v>800</v>
      </c>
      <c r="K1674" s="42">
        <v>25.3</v>
      </c>
      <c r="L1674" s="43"/>
      <c r="M1674" s="43">
        <f>L1674*K1674</f>
        <v>0</v>
      </c>
      <c r="N1674" s="35">
        <v>4607015184181</v>
      </c>
    </row>
    <row r="1675" spans="1:14" ht="36" customHeight="1" outlineLevel="3" x14ac:dyDescent="0.2">
      <c r="A1675" s="45">
        <v>14451</v>
      </c>
      <c r="B1675" s="37" t="str">
        <f>HYPERLINK("http://www.sedek.ru/upload/iblock/7e9/svekla_pervyy_urozhay.jpg","фото")</f>
        <v>фото</v>
      </c>
      <c r="C1675" s="38"/>
      <c r="D1675" s="38"/>
      <c r="E1675" s="39"/>
      <c r="F1675" s="39" t="s">
        <v>2030</v>
      </c>
      <c r="G1675" s="40">
        <v>3</v>
      </c>
      <c r="H1675" s="39" t="s">
        <v>101</v>
      </c>
      <c r="I1675" s="39" t="s">
        <v>102</v>
      </c>
      <c r="J1675" s="40">
        <v>800</v>
      </c>
      <c r="K1675" s="42">
        <v>19.600000000000001</v>
      </c>
      <c r="L1675" s="43"/>
      <c r="M1675" s="43">
        <f>L1675*K1675</f>
        <v>0</v>
      </c>
      <c r="N1675" s="35">
        <v>4607149403639</v>
      </c>
    </row>
    <row r="1676" spans="1:14" ht="36" customHeight="1" outlineLevel="3" x14ac:dyDescent="0.2">
      <c r="A1676" s="45">
        <v>14451</v>
      </c>
      <c r="B1676" s="37" t="str">
        <f>HYPERLINK("http://www.sedek.ru/upload/iblock/7e9/svekla_pervyy_urozhay.jpg","фото")</f>
        <v>фото</v>
      </c>
      <c r="C1676" s="38"/>
      <c r="D1676" s="38"/>
      <c r="E1676" s="39"/>
      <c r="F1676" s="39" t="s">
        <v>2031</v>
      </c>
      <c r="G1676" s="40">
        <v>2</v>
      </c>
      <c r="H1676" s="39" t="s">
        <v>101</v>
      </c>
      <c r="I1676" s="39" t="s">
        <v>287</v>
      </c>
      <c r="J1676" s="40">
        <v>800</v>
      </c>
      <c r="K1676" s="42">
        <v>8.8000000000000007</v>
      </c>
      <c r="L1676" s="43"/>
      <c r="M1676" s="43">
        <f>L1676*K1676</f>
        <v>0</v>
      </c>
      <c r="N1676" s="35">
        <v>4607149407545</v>
      </c>
    </row>
    <row r="1677" spans="1:14" ht="24" customHeight="1" outlineLevel="3" x14ac:dyDescent="0.2">
      <c r="A1677" s="45">
        <v>13597</v>
      </c>
      <c r="B1677" s="37" t="str">
        <f>HYPERLINK("http://sedek.ru/upload/iblock/8ac/svekla_podzimnyaya_a_474.jpg","фото")</f>
        <v>фото</v>
      </c>
      <c r="C1677" s="38"/>
      <c r="D1677" s="38"/>
      <c r="E1677" s="39"/>
      <c r="F1677" s="39" t="s">
        <v>2032</v>
      </c>
      <c r="G1677" s="40">
        <v>3</v>
      </c>
      <c r="H1677" s="39" t="s">
        <v>101</v>
      </c>
      <c r="I1677" s="39" t="s">
        <v>102</v>
      </c>
      <c r="J1677" s="40">
        <v>800</v>
      </c>
      <c r="K1677" s="42">
        <v>20</v>
      </c>
      <c r="L1677" s="43"/>
      <c r="M1677" s="43">
        <f>L1677*K1677</f>
        <v>0</v>
      </c>
      <c r="N1677" s="35">
        <v>4690368008044</v>
      </c>
    </row>
    <row r="1678" spans="1:14" ht="36" customHeight="1" outlineLevel="3" x14ac:dyDescent="0.2">
      <c r="A1678" s="45">
        <v>16151</v>
      </c>
      <c r="B1678" s="37" t="str">
        <f>HYPERLINK("http://sedek.ru/upload/iblock/0bf/svekla_salatnaya.jpg","фото")</f>
        <v>фото</v>
      </c>
      <c r="C1678" s="38"/>
      <c r="D1678" s="38"/>
      <c r="E1678" s="39"/>
      <c r="F1678" s="39" t="s">
        <v>2033</v>
      </c>
      <c r="G1678" s="40">
        <v>3</v>
      </c>
      <c r="H1678" s="39" t="s">
        <v>101</v>
      </c>
      <c r="I1678" s="39" t="s">
        <v>102</v>
      </c>
      <c r="J1678" s="40">
        <v>800</v>
      </c>
      <c r="K1678" s="42">
        <v>20</v>
      </c>
      <c r="L1678" s="43"/>
      <c r="M1678" s="43">
        <f>L1678*K1678</f>
        <v>0</v>
      </c>
      <c r="N1678" s="35">
        <v>4690368008051</v>
      </c>
    </row>
    <row r="1679" spans="1:14" ht="36" customHeight="1" outlineLevel="3" x14ac:dyDescent="0.2">
      <c r="A1679" s="45">
        <v>16151</v>
      </c>
      <c r="B1679" s="37" t="str">
        <f>HYPERLINK("http://sedek.ru/upload/iblock/0bf/svekla_salatnaya.jpg","фото")</f>
        <v>фото</v>
      </c>
      <c r="C1679" s="38"/>
      <c r="D1679" s="38"/>
      <c r="E1679" s="39"/>
      <c r="F1679" s="39" t="s">
        <v>2034</v>
      </c>
      <c r="G1679" s="40">
        <v>2</v>
      </c>
      <c r="H1679" s="39" t="s">
        <v>101</v>
      </c>
      <c r="I1679" s="39" t="s">
        <v>287</v>
      </c>
      <c r="J1679" s="40">
        <v>800</v>
      </c>
      <c r="K1679" s="42">
        <v>7.4</v>
      </c>
      <c r="L1679" s="43"/>
      <c r="M1679" s="43">
        <f>L1679*K1679</f>
        <v>0</v>
      </c>
      <c r="N1679" s="35">
        <v>4690368008358</v>
      </c>
    </row>
    <row r="1680" spans="1:14" ht="36" customHeight="1" outlineLevel="3" x14ac:dyDescent="0.2">
      <c r="A1680" s="46">
        <v>14197</v>
      </c>
      <c r="B1680" s="47" t="str">
        <f>HYPERLINK("http://www.sedek.ru/upload/iblock/0cb/svekla_sonata.JPG","фото")</f>
        <v>фото</v>
      </c>
      <c r="C1680" s="48"/>
      <c r="D1680" s="48"/>
      <c r="E1680" s="49"/>
      <c r="F1680" s="49" t="s">
        <v>2035</v>
      </c>
      <c r="G1680" s="50">
        <v>3</v>
      </c>
      <c r="H1680" s="49" t="s">
        <v>101</v>
      </c>
      <c r="I1680" s="49" t="s">
        <v>102</v>
      </c>
      <c r="J1680" s="50">
        <v>800</v>
      </c>
      <c r="K1680" s="52">
        <v>18</v>
      </c>
      <c r="L1680" s="53"/>
      <c r="M1680" s="53">
        <f>L1680*K1680</f>
        <v>0</v>
      </c>
      <c r="N1680" s="35">
        <v>4607015184204</v>
      </c>
    </row>
    <row r="1681" spans="1:14" ht="36" customHeight="1" outlineLevel="3" x14ac:dyDescent="0.2">
      <c r="A1681" s="71">
        <v>14197</v>
      </c>
      <c r="B1681" s="72" t="str">
        <f>HYPERLINK("http://www.sedek.ru/upload/iblock/0cb/svekla_sonata.JPG","фото")</f>
        <v>фото</v>
      </c>
      <c r="C1681" s="73"/>
      <c r="D1681" s="73"/>
      <c r="E1681" s="74"/>
      <c r="F1681" s="74" t="s">
        <v>2036</v>
      </c>
      <c r="G1681" s="75">
        <v>2</v>
      </c>
      <c r="H1681" s="74" t="s">
        <v>101</v>
      </c>
      <c r="I1681" s="74" t="s">
        <v>287</v>
      </c>
      <c r="J1681" s="75">
        <v>800</v>
      </c>
      <c r="K1681" s="77">
        <v>6.8</v>
      </c>
      <c r="L1681" s="78"/>
      <c r="M1681" s="78">
        <f>L1681*K1681</f>
        <v>0</v>
      </c>
      <c r="N1681" s="79">
        <v>4607149402953</v>
      </c>
    </row>
    <row r="1682" spans="1:14" ht="36" customHeight="1" outlineLevel="3" x14ac:dyDescent="0.2">
      <c r="A1682" s="45">
        <v>15190</v>
      </c>
      <c r="B1682" s="37" t="str">
        <f>HYPERLINK("http://sedek.ru/upload/iblock/d3b/svekla_khavskaya.jpg","фото")</f>
        <v>фото</v>
      </c>
      <c r="C1682" s="38"/>
      <c r="D1682" s="38"/>
      <c r="E1682" s="39"/>
      <c r="F1682" s="39" t="s">
        <v>2037</v>
      </c>
      <c r="G1682" s="40">
        <v>3</v>
      </c>
      <c r="H1682" s="39" t="s">
        <v>101</v>
      </c>
      <c r="I1682" s="39" t="s">
        <v>102</v>
      </c>
      <c r="J1682" s="40">
        <v>800</v>
      </c>
      <c r="K1682" s="42">
        <v>16.899999999999999</v>
      </c>
      <c r="L1682" s="43"/>
      <c r="M1682" s="43">
        <f>L1682*K1682</f>
        <v>0</v>
      </c>
      <c r="N1682" s="35">
        <v>4690368009027</v>
      </c>
    </row>
    <row r="1683" spans="1:14" ht="36" customHeight="1" outlineLevel="3" x14ac:dyDescent="0.2">
      <c r="A1683" s="45">
        <v>15987</v>
      </c>
      <c r="B1683" s="37" t="str">
        <f>HYPERLINK("http://www.sedek.ru/upload/iblock/9cb/svekla_tsilindra.jpg","фото")</f>
        <v>фото</v>
      </c>
      <c r="C1683" s="38"/>
      <c r="D1683" s="38"/>
      <c r="E1683" s="39"/>
      <c r="F1683" s="39" t="s">
        <v>2038</v>
      </c>
      <c r="G1683" s="40">
        <v>3</v>
      </c>
      <c r="H1683" s="39" t="s">
        <v>101</v>
      </c>
      <c r="I1683" s="39" t="s">
        <v>102</v>
      </c>
      <c r="J1683" s="40">
        <v>800</v>
      </c>
      <c r="K1683" s="42">
        <v>16.899999999999999</v>
      </c>
      <c r="L1683" s="43"/>
      <c r="M1683" s="43">
        <f>L1683*K1683</f>
        <v>0</v>
      </c>
      <c r="N1683" s="35">
        <v>4607015184228</v>
      </c>
    </row>
    <row r="1684" spans="1:14" ht="36" customHeight="1" outlineLevel="3" x14ac:dyDescent="0.2">
      <c r="A1684" s="45">
        <v>14456</v>
      </c>
      <c r="B1684" s="37" t="str">
        <f>HYPERLINK("http://sedek.ru/upload/iblock/40d/svekla_chervona_kula.jpg","фото")</f>
        <v>фото</v>
      </c>
      <c r="C1684" s="38"/>
      <c r="D1684" s="38"/>
      <c r="E1684" s="39"/>
      <c r="F1684" s="39" t="s">
        <v>2039</v>
      </c>
      <c r="G1684" s="40">
        <v>3</v>
      </c>
      <c r="H1684" s="39" t="s">
        <v>101</v>
      </c>
      <c r="I1684" s="39" t="s">
        <v>102</v>
      </c>
      <c r="J1684" s="40">
        <v>800</v>
      </c>
      <c r="K1684" s="42">
        <v>15.6</v>
      </c>
      <c r="L1684" s="43"/>
      <c r="M1684" s="43">
        <f>L1684*K1684</f>
        <v>0</v>
      </c>
      <c r="N1684" s="35">
        <v>4607149400980</v>
      </c>
    </row>
    <row r="1685" spans="1:14" ht="36" customHeight="1" outlineLevel="3" x14ac:dyDescent="0.2">
      <c r="A1685" s="45">
        <v>14456</v>
      </c>
      <c r="B1685" s="37" t="str">
        <f>HYPERLINK("http://sedek.ru/upload/iblock/40d/svekla_chervona_kula.jpg","фото")</f>
        <v>фото</v>
      </c>
      <c r="C1685" s="38"/>
      <c r="D1685" s="38"/>
      <c r="E1685" s="39"/>
      <c r="F1685" s="39" t="s">
        <v>2040</v>
      </c>
      <c r="G1685" s="40">
        <v>3</v>
      </c>
      <c r="H1685" s="39" t="s">
        <v>101</v>
      </c>
      <c r="I1685" s="39" t="s">
        <v>287</v>
      </c>
      <c r="J1685" s="40">
        <v>800</v>
      </c>
      <c r="K1685" s="42">
        <v>7.1</v>
      </c>
      <c r="L1685" s="43"/>
      <c r="M1685" s="43">
        <f>L1685*K1685</f>
        <v>0</v>
      </c>
      <c r="N1685" s="35">
        <v>4607149405893</v>
      </c>
    </row>
    <row r="1686" spans="1:14" ht="24" customHeight="1" outlineLevel="3" x14ac:dyDescent="0.2">
      <c r="A1686" s="45">
        <v>15145</v>
      </c>
      <c r="B1686" s="37" t="str">
        <f>HYPERLINK("http://www.sedek.ru/upload/iblock/fe2/svekla_stolovaya_chyernaya_vdova.jpg","фото")</f>
        <v>фото</v>
      </c>
      <c r="C1686" s="38"/>
      <c r="D1686" s="38"/>
      <c r="E1686" s="39"/>
      <c r="F1686" s="39" t="s">
        <v>2041</v>
      </c>
      <c r="G1686" s="40">
        <v>3</v>
      </c>
      <c r="H1686" s="39" t="s">
        <v>101</v>
      </c>
      <c r="I1686" s="39" t="s">
        <v>102</v>
      </c>
      <c r="J1686" s="40">
        <v>800</v>
      </c>
      <c r="K1686" s="42">
        <v>20</v>
      </c>
      <c r="L1686" s="43"/>
      <c r="M1686" s="43">
        <f>L1686*K1686</f>
        <v>0</v>
      </c>
      <c r="N1686" s="35">
        <v>4607149403677</v>
      </c>
    </row>
    <row r="1687" spans="1:14" ht="24" customHeight="1" outlineLevel="3" x14ac:dyDescent="0.2">
      <c r="A1687" s="45">
        <v>15145</v>
      </c>
      <c r="B1687" s="37" t="str">
        <f>HYPERLINK("http://www.sedek.ru/upload/iblock/fe2/svekla_stolovaya_chyernaya_vdova.jpg","фото")</f>
        <v>фото</v>
      </c>
      <c r="C1687" s="38"/>
      <c r="D1687" s="38"/>
      <c r="E1687" s="39"/>
      <c r="F1687" s="39" t="s">
        <v>2042</v>
      </c>
      <c r="G1687" s="40">
        <v>2</v>
      </c>
      <c r="H1687" s="39" t="s">
        <v>101</v>
      </c>
      <c r="I1687" s="39" t="s">
        <v>287</v>
      </c>
      <c r="J1687" s="40">
        <v>800</v>
      </c>
      <c r="K1687" s="42">
        <v>11.3</v>
      </c>
      <c r="L1687" s="43"/>
      <c r="M1687" s="43">
        <f>L1687*K1687</f>
        <v>0</v>
      </c>
      <c r="N1687" s="35">
        <v>4607149405879</v>
      </c>
    </row>
    <row r="1688" spans="1:14" ht="12" customHeight="1" outlineLevel="2" x14ac:dyDescent="0.2">
      <c r="A1688" s="22"/>
      <c r="B1688" s="23"/>
      <c r="C1688" s="23"/>
      <c r="D1688" s="23"/>
      <c r="E1688" s="24"/>
      <c r="F1688" s="24" t="s">
        <v>2043</v>
      </c>
      <c r="G1688" s="24"/>
      <c r="H1688" s="24"/>
      <c r="I1688" s="24"/>
      <c r="J1688" s="24"/>
      <c r="K1688" s="24"/>
      <c r="L1688" s="24"/>
      <c r="M1688" s="24"/>
      <c r="N1688" s="25"/>
    </row>
    <row r="1689" spans="1:14" ht="36" customHeight="1" outlineLevel="3" x14ac:dyDescent="0.2">
      <c r="A1689" s="45">
        <v>15627</v>
      </c>
      <c r="B1689" s="37" t="str">
        <f>HYPERLINK("http://sedek.ru/upload/iblock/9c8/selderey_avrora.jpg","фото")</f>
        <v>фото</v>
      </c>
      <c r="C1689" s="38"/>
      <c r="D1689" s="38"/>
      <c r="E1689" s="39"/>
      <c r="F1689" s="39" t="s">
        <v>2044</v>
      </c>
      <c r="G1689" s="44">
        <v>0.5</v>
      </c>
      <c r="H1689" s="39" t="s">
        <v>101</v>
      </c>
      <c r="I1689" s="39" t="s">
        <v>102</v>
      </c>
      <c r="J1689" s="41">
        <v>3000</v>
      </c>
      <c r="K1689" s="42">
        <v>20.5</v>
      </c>
      <c r="L1689" s="43"/>
      <c r="M1689" s="43">
        <f>L1689*K1689</f>
        <v>0</v>
      </c>
      <c r="N1689" s="35">
        <v>4607015188936</v>
      </c>
    </row>
    <row r="1690" spans="1:14" ht="36" customHeight="1" outlineLevel="3" x14ac:dyDescent="0.2">
      <c r="A1690" s="45">
        <v>13730</v>
      </c>
      <c r="B1690" s="37" t="str">
        <f>HYPERLINK("http://sedek.ru/upload/iblock/925/selderey_vysokiy.jpg","фото")</f>
        <v>фото</v>
      </c>
      <c r="C1690" s="38"/>
      <c r="D1690" s="38"/>
      <c r="E1690" s="39"/>
      <c r="F1690" s="39" t="s">
        <v>2045</v>
      </c>
      <c r="G1690" s="44">
        <v>0.5</v>
      </c>
      <c r="H1690" s="39" t="s">
        <v>101</v>
      </c>
      <c r="I1690" s="39" t="s">
        <v>102</v>
      </c>
      <c r="J1690" s="41">
        <v>3000</v>
      </c>
      <c r="K1690" s="42">
        <v>20.5</v>
      </c>
      <c r="L1690" s="43"/>
      <c r="M1690" s="43">
        <f>L1690*K1690</f>
        <v>0</v>
      </c>
      <c r="N1690" s="35">
        <v>4607015188943</v>
      </c>
    </row>
    <row r="1691" spans="1:14" ht="36" customHeight="1" outlineLevel="3" x14ac:dyDescent="0.2">
      <c r="A1691" s="45">
        <v>13730</v>
      </c>
      <c r="B1691" s="37" t="str">
        <f>HYPERLINK("http://sedek.ru/upload/iblock/925/selderey_vysokiy.jpg","фото")</f>
        <v>фото</v>
      </c>
      <c r="C1691" s="38"/>
      <c r="D1691" s="38"/>
      <c r="E1691" s="39"/>
      <c r="F1691" s="39" t="s">
        <v>2046</v>
      </c>
      <c r="G1691" s="44">
        <v>0.5</v>
      </c>
      <c r="H1691" s="39" t="s">
        <v>101</v>
      </c>
      <c r="I1691" s="39" t="s">
        <v>287</v>
      </c>
      <c r="J1691" s="41">
        <v>3000</v>
      </c>
      <c r="K1691" s="42">
        <v>7.3</v>
      </c>
      <c r="L1691" s="43"/>
      <c r="M1691" s="43">
        <f>L1691*K1691</f>
        <v>0</v>
      </c>
      <c r="N1691" s="35">
        <v>4690368005364</v>
      </c>
    </row>
    <row r="1692" spans="1:14" ht="36" customHeight="1" outlineLevel="3" x14ac:dyDescent="0.2">
      <c r="A1692" s="45">
        <v>15091</v>
      </c>
      <c r="B1692" s="37" t="str">
        <f>HYPERLINK("http://sedek.ru/upload/iblock/88f/selderey_gigant_vostochnyy.jpg","фото")</f>
        <v>фото</v>
      </c>
      <c r="C1692" s="38"/>
      <c r="D1692" s="38"/>
      <c r="E1692" s="39"/>
      <c r="F1692" s="39" t="s">
        <v>2047</v>
      </c>
      <c r="G1692" s="44">
        <v>0.5</v>
      </c>
      <c r="H1692" s="39" t="s">
        <v>101</v>
      </c>
      <c r="I1692" s="39" t="s">
        <v>102</v>
      </c>
      <c r="J1692" s="41">
        <v>3000</v>
      </c>
      <c r="K1692" s="42">
        <v>20.5</v>
      </c>
      <c r="L1692" s="43"/>
      <c r="M1692" s="43">
        <f>L1692*K1692</f>
        <v>0</v>
      </c>
      <c r="N1692" s="35">
        <v>4607116267516</v>
      </c>
    </row>
    <row r="1693" spans="1:14" ht="36" customHeight="1" outlineLevel="3" x14ac:dyDescent="0.2">
      <c r="A1693" s="45">
        <v>14225</v>
      </c>
      <c r="B1693" s="37" t="str">
        <f>HYPERLINK("http://sedek.ru/upload/iblock/0d7/selderey_gribovskiy.jpg","фото")</f>
        <v>фото</v>
      </c>
      <c r="C1693" s="38"/>
      <c r="D1693" s="38"/>
      <c r="E1693" s="39"/>
      <c r="F1693" s="39" t="s">
        <v>2048</v>
      </c>
      <c r="G1693" s="44">
        <v>0.5</v>
      </c>
      <c r="H1693" s="39" t="s">
        <v>101</v>
      </c>
      <c r="I1693" s="39" t="s">
        <v>102</v>
      </c>
      <c r="J1693" s="41">
        <v>3000</v>
      </c>
      <c r="K1693" s="42">
        <v>16.899999999999999</v>
      </c>
      <c r="L1693" s="43"/>
      <c r="M1693" s="43">
        <f>L1693*K1693</f>
        <v>0</v>
      </c>
      <c r="N1693" s="35">
        <v>4690368009706</v>
      </c>
    </row>
    <row r="1694" spans="1:14" ht="36" customHeight="1" outlineLevel="3" x14ac:dyDescent="0.2">
      <c r="A1694" s="45">
        <v>15808</v>
      </c>
      <c r="B1694" s="37" t="str">
        <f>HYPERLINK("http://sedek.ru/upload/iblock/857/selderey_zakhar.jpg","фото")</f>
        <v>фото</v>
      </c>
      <c r="C1694" s="38"/>
      <c r="D1694" s="38"/>
      <c r="E1694" s="39"/>
      <c r="F1694" s="39" t="s">
        <v>2049</v>
      </c>
      <c r="G1694" s="44">
        <v>0.5</v>
      </c>
      <c r="H1694" s="39" t="s">
        <v>101</v>
      </c>
      <c r="I1694" s="39" t="s">
        <v>102</v>
      </c>
      <c r="J1694" s="41">
        <v>3000</v>
      </c>
      <c r="K1694" s="42">
        <v>20.5</v>
      </c>
      <c r="L1694" s="43"/>
      <c r="M1694" s="43">
        <f>L1694*K1694</f>
        <v>0</v>
      </c>
      <c r="N1694" s="35">
        <v>4690368009713</v>
      </c>
    </row>
    <row r="1695" spans="1:14" ht="36" customHeight="1" outlineLevel="3" x14ac:dyDescent="0.2">
      <c r="A1695" s="45">
        <v>13718</v>
      </c>
      <c r="B1695" s="37" t="str">
        <f>HYPERLINK("http://www.sedek.ru/upload/iblock/6fe/selderey_listovoy_lekar.jpg","фото")</f>
        <v>фото</v>
      </c>
      <c r="C1695" s="38"/>
      <c r="D1695" s="38"/>
      <c r="E1695" s="39"/>
      <c r="F1695" s="39" t="s">
        <v>2050</v>
      </c>
      <c r="G1695" s="44">
        <v>0.5</v>
      </c>
      <c r="H1695" s="39" t="s">
        <v>101</v>
      </c>
      <c r="I1695" s="39" t="s">
        <v>102</v>
      </c>
      <c r="J1695" s="41">
        <v>3000</v>
      </c>
      <c r="K1695" s="42">
        <v>20.5</v>
      </c>
      <c r="L1695" s="43"/>
      <c r="M1695" s="43">
        <f>L1695*K1695</f>
        <v>0</v>
      </c>
      <c r="N1695" s="35">
        <v>4690368006699</v>
      </c>
    </row>
    <row r="1696" spans="1:14" ht="36" customHeight="1" outlineLevel="3" x14ac:dyDescent="0.2">
      <c r="A1696" s="45">
        <v>14096</v>
      </c>
      <c r="B1696" s="37" t="str">
        <f>HYPERLINK("http://sedek.ru/upload/iblock/96b/selderey_muzhskaya_doblest.jpg","фото")</f>
        <v>фото</v>
      </c>
      <c r="C1696" s="38"/>
      <c r="D1696" s="38"/>
      <c r="E1696" s="39"/>
      <c r="F1696" s="39" t="s">
        <v>2051</v>
      </c>
      <c r="G1696" s="44">
        <v>0.5</v>
      </c>
      <c r="H1696" s="39" t="s">
        <v>101</v>
      </c>
      <c r="I1696" s="39" t="s">
        <v>102</v>
      </c>
      <c r="J1696" s="41">
        <v>3000</v>
      </c>
      <c r="K1696" s="42">
        <v>20.5</v>
      </c>
      <c r="L1696" s="43"/>
      <c r="M1696" s="43">
        <f>L1696*K1696</f>
        <v>0</v>
      </c>
      <c r="N1696" s="35">
        <v>4607149404902</v>
      </c>
    </row>
    <row r="1697" spans="1:14" ht="36" customHeight="1" outlineLevel="3" x14ac:dyDescent="0.2">
      <c r="A1697" s="45">
        <v>14860</v>
      </c>
      <c r="B1697" s="37" t="str">
        <f>HYPERLINK("http://sedek.ru/upload/iblock/5ef/selderey_nezhnyy.jpg","фото")</f>
        <v>фото</v>
      </c>
      <c r="C1697" s="38"/>
      <c r="D1697" s="38"/>
      <c r="E1697" s="39"/>
      <c r="F1697" s="39" t="s">
        <v>2052</v>
      </c>
      <c r="G1697" s="44">
        <v>0.5</v>
      </c>
      <c r="H1697" s="39" t="s">
        <v>101</v>
      </c>
      <c r="I1697" s="39" t="s">
        <v>102</v>
      </c>
      <c r="J1697" s="41">
        <v>3000</v>
      </c>
      <c r="K1697" s="42">
        <v>20.5</v>
      </c>
      <c r="L1697" s="43"/>
      <c r="M1697" s="43">
        <f>L1697*K1697</f>
        <v>0</v>
      </c>
      <c r="N1697" s="35">
        <v>4690368009720</v>
      </c>
    </row>
    <row r="1698" spans="1:14" ht="36" customHeight="1" outlineLevel="3" x14ac:dyDescent="0.2">
      <c r="A1698" s="45">
        <v>14782</v>
      </c>
      <c r="B1698" s="37" t="str">
        <f>HYPERLINK("http://sedek.ru/upload/iblock/7cf/selderey_paskal.JPG","фото")</f>
        <v>фото</v>
      </c>
      <c r="C1698" s="38"/>
      <c r="D1698" s="38"/>
      <c r="E1698" s="39"/>
      <c r="F1698" s="39" t="s">
        <v>2053</v>
      </c>
      <c r="G1698" s="44">
        <v>0.5</v>
      </c>
      <c r="H1698" s="39" t="s">
        <v>101</v>
      </c>
      <c r="I1698" s="39" t="s">
        <v>102</v>
      </c>
      <c r="J1698" s="41">
        <v>3000</v>
      </c>
      <c r="K1698" s="42">
        <v>19.3</v>
      </c>
      <c r="L1698" s="43"/>
      <c r="M1698" s="43">
        <f>L1698*K1698</f>
        <v>0</v>
      </c>
      <c r="N1698" s="35">
        <v>4607015188950</v>
      </c>
    </row>
    <row r="1699" spans="1:14" ht="36" customHeight="1" outlineLevel="3" x14ac:dyDescent="0.2">
      <c r="A1699" s="45">
        <v>14224</v>
      </c>
      <c r="B1699" s="37" t="str">
        <f>HYPERLINK("http://sedek.ru/upload/iblock/b7e/selderey_prazhskiy_gigant.jpg","фото")</f>
        <v>фото</v>
      </c>
      <c r="C1699" s="38"/>
      <c r="D1699" s="38"/>
      <c r="E1699" s="39"/>
      <c r="F1699" s="39" t="s">
        <v>2054</v>
      </c>
      <c r="G1699" s="44">
        <v>0.5</v>
      </c>
      <c r="H1699" s="39" t="s">
        <v>101</v>
      </c>
      <c r="I1699" s="39" t="s">
        <v>102</v>
      </c>
      <c r="J1699" s="41">
        <v>3000</v>
      </c>
      <c r="K1699" s="42">
        <v>16.899999999999999</v>
      </c>
      <c r="L1699" s="43"/>
      <c r="M1699" s="43">
        <f>L1699*K1699</f>
        <v>0</v>
      </c>
      <c r="N1699" s="35">
        <v>4690368009737</v>
      </c>
    </row>
    <row r="1700" spans="1:14" ht="36" customHeight="1" outlineLevel="3" x14ac:dyDescent="0.2">
      <c r="A1700" s="45">
        <v>15129</v>
      </c>
      <c r="B1700" s="37" t="str">
        <f>HYPERLINK("http://sedek.ru/upload/iblock/c56/selderey_puchkovyy.jpg","фото")</f>
        <v>фото</v>
      </c>
      <c r="C1700" s="38"/>
      <c r="D1700" s="38"/>
      <c r="E1700" s="39"/>
      <c r="F1700" s="39" t="s">
        <v>2055</v>
      </c>
      <c r="G1700" s="44">
        <v>0.5</v>
      </c>
      <c r="H1700" s="39" t="s">
        <v>101</v>
      </c>
      <c r="I1700" s="39" t="s">
        <v>102</v>
      </c>
      <c r="J1700" s="41">
        <v>3000</v>
      </c>
      <c r="K1700" s="42">
        <v>20.5</v>
      </c>
      <c r="L1700" s="43"/>
      <c r="M1700" s="43">
        <f>L1700*K1700</f>
        <v>0</v>
      </c>
      <c r="N1700" s="35">
        <v>4690368010979</v>
      </c>
    </row>
    <row r="1701" spans="1:14" ht="36" customHeight="1" outlineLevel="3" x14ac:dyDescent="0.2">
      <c r="A1701" s="45">
        <v>15129</v>
      </c>
      <c r="B1701" s="37" t="str">
        <f>HYPERLINK("http://sedek.ru/upload/iblock/c56/selderey_puchkovyy.jpg","фото")</f>
        <v>фото</v>
      </c>
      <c r="C1701" s="38"/>
      <c r="D1701" s="38"/>
      <c r="E1701" s="39"/>
      <c r="F1701" s="39" t="s">
        <v>2056</v>
      </c>
      <c r="G1701" s="44">
        <v>0.5</v>
      </c>
      <c r="H1701" s="39" t="s">
        <v>101</v>
      </c>
      <c r="I1701" s="39" t="s">
        <v>287</v>
      </c>
      <c r="J1701" s="41">
        <v>3000</v>
      </c>
      <c r="K1701" s="42">
        <v>8.8000000000000007</v>
      </c>
      <c r="L1701" s="43"/>
      <c r="M1701" s="43">
        <f>L1701*K1701</f>
        <v>0</v>
      </c>
      <c r="N1701" s="35">
        <v>4690368008624</v>
      </c>
    </row>
    <row r="1702" spans="1:14" ht="24" customHeight="1" outlineLevel="3" x14ac:dyDescent="0.2">
      <c r="A1702" s="45">
        <v>16407</v>
      </c>
      <c r="B1702" s="37" t="str">
        <f>HYPERLINK("http://sedek.ru/upload/iblock/63b/selderey_khrust.jpg","фото")</f>
        <v>фото</v>
      </c>
      <c r="C1702" s="38"/>
      <c r="D1702" s="38"/>
      <c r="E1702" s="39"/>
      <c r="F1702" s="39" t="s">
        <v>2057</v>
      </c>
      <c r="G1702" s="44">
        <v>0.2</v>
      </c>
      <c r="H1702" s="39" t="s">
        <v>101</v>
      </c>
      <c r="I1702" s="39" t="s">
        <v>102</v>
      </c>
      <c r="J1702" s="41">
        <v>3000</v>
      </c>
      <c r="K1702" s="42">
        <v>20.5</v>
      </c>
      <c r="L1702" s="43"/>
      <c r="M1702" s="43">
        <f>L1702*K1702</f>
        <v>0</v>
      </c>
      <c r="N1702" s="35">
        <v>4690368009744</v>
      </c>
    </row>
    <row r="1703" spans="1:14" ht="36" customHeight="1" outlineLevel="3" x14ac:dyDescent="0.2">
      <c r="A1703" s="45">
        <v>14710</v>
      </c>
      <c r="B1703" s="37" t="str">
        <f>HYPERLINK("http://sedek.ru/upload/iblock/764/selderey_yupiter.jpg","фото")</f>
        <v>фото</v>
      </c>
      <c r="C1703" s="38"/>
      <c r="D1703" s="38"/>
      <c r="E1703" s="39"/>
      <c r="F1703" s="39" t="s">
        <v>2058</v>
      </c>
      <c r="G1703" s="44">
        <v>0.5</v>
      </c>
      <c r="H1703" s="39" t="s">
        <v>101</v>
      </c>
      <c r="I1703" s="39" t="s">
        <v>102</v>
      </c>
      <c r="J1703" s="41">
        <v>3000</v>
      </c>
      <c r="K1703" s="42">
        <v>20.5</v>
      </c>
      <c r="L1703" s="43"/>
      <c r="M1703" s="43">
        <f>L1703*K1703</f>
        <v>0</v>
      </c>
      <c r="N1703" s="35">
        <v>4607015188967</v>
      </c>
    </row>
    <row r="1704" spans="1:14" ht="36" customHeight="1" outlineLevel="3" x14ac:dyDescent="0.2">
      <c r="A1704" s="45">
        <v>14710</v>
      </c>
      <c r="B1704" s="37" t="str">
        <f>HYPERLINK("http://sedek.ru/upload/iblock/764/selderey_yupiter.jpg","фото")</f>
        <v>фото</v>
      </c>
      <c r="C1704" s="38"/>
      <c r="D1704" s="38"/>
      <c r="E1704" s="39"/>
      <c r="F1704" s="39" t="s">
        <v>2059</v>
      </c>
      <c r="G1704" s="44">
        <v>0.5</v>
      </c>
      <c r="H1704" s="39" t="s">
        <v>101</v>
      </c>
      <c r="I1704" s="39" t="s">
        <v>287</v>
      </c>
      <c r="J1704" s="41">
        <v>3000</v>
      </c>
      <c r="K1704" s="42">
        <v>7.3</v>
      </c>
      <c r="L1704" s="43"/>
      <c r="M1704" s="43">
        <f>L1704*K1704</f>
        <v>0</v>
      </c>
      <c r="N1704" s="35">
        <v>4690368006491</v>
      </c>
    </row>
    <row r="1705" spans="1:14" ht="36" customHeight="1" outlineLevel="3" x14ac:dyDescent="0.2">
      <c r="A1705" s="45">
        <v>13559</v>
      </c>
      <c r="B1705" s="37" t="str">
        <f>HYPERLINK("http://sedek.ru/upload/iblock/535/selderey_yablochnyy.jpg","фото")</f>
        <v>фото</v>
      </c>
      <c r="C1705" s="38"/>
      <c r="D1705" s="38"/>
      <c r="E1705" s="39"/>
      <c r="F1705" s="39" t="s">
        <v>2060</v>
      </c>
      <c r="G1705" s="44">
        <v>0.5</v>
      </c>
      <c r="H1705" s="39" t="s">
        <v>101</v>
      </c>
      <c r="I1705" s="39" t="s">
        <v>102</v>
      </c>
      <c r="J1705" s="41">
        <v>3000</v>
      </c>
      <c r="K1705" s="42">
        <v>16.899999999999999</v>
      </c>
      <c r="L1705" s="43"/>
      <c r="M1705" s="43">
        <f>L1705*K1705</f>
        <v>0</v>
      </c>
      <c r="N1705" s="35">
        <v>4607015188974</v>
      </c>
    </row>
    <row r="1706" spans="1:14" ht="36" customHeight="1" outlineLevel="3" x14ac:dyDescent="0.2">
      <c r="A1706" s="45">
        <v>13559</v>
      </c>
      <c r="B1706" s="37" t="str">
        <f>HYPERLINK("http://sedek.ru/upload/iblock/535/selderey_yablochnyy.jpg","фото")</f>
        <v>фото</v>
      </c>
      <c r="C1706" s="38"/>
      <c r="D1706" s="38"/>
      <c r="E1706" s="39"/>
      <c r="F1706" s="39" t="s">
        <v>2061</v>
      </c>
      <c r="G1706" s="44">
        <v>0.5</v>
      </c>
      <c r="H1706" s="39" t="s">
        <v>101</v>
      </c>
      <c r="I1706" s="39" t="s">
        <v>287</v>
      </c>
      <c r="J1706" s="41">
        <v>3000</v>
      </c>
      <c r="K1706" s="42">
        <v>6.5</v>
      </c>
      <c r="L1706" s="43"/>
      <c r="M1706" s="43">
        <f>L1706*K1706</f>
        <v>0</v>
      </c>
      <c r="N1706" s="35">
        <v>4607149407576</v>
      </c>
    </row>
    <row r="1707" spans="1:14" ht="12" customHeight="1" outlineLevel="2" x14ac:dyDescent="0.2">
      <c r="A1707" s="22"/>
      <c r="B1707" s="23"/>
      <c r="C1707" s="23"/>
      <c r="D1707" s="23"/>
      <c r="E1707" s="24"/>
      <c r="F1707" s="24" t="s">
        <v>2062</v>
      </c>
      <c r="G1707" s="24"/>
      <c r="H1707" s="24"/>
      <c r="I1707" s="24"/>
      <c r="J1707" s="24"/>
      <c r="K1707" s="24"/>
      <c r="L1707" s="24"/>
      <c r="M1707" s="24"/>
      <c r="N1707" s="25"/>
    </row>
    <row r="1708" spans="1:14" ht="24" customHeight="1" outlineLevel="3" x14ac:dyDescent="0.2">
      <c r="A1708" s="45">
        <v>16045</v>
      </c>
      <c r="B1708" s="37" t="str">
        <f>HYPERLINK("http://www.sedek.ru/upload/iblock/dff/gorchitsa.jpg","фото")</f>
        <v>фото</v>
      </c>
      <c r="C1708" s="38"/>
      <c r="D1708" s="38"/>
      <c r="E1708" s="39"/>
      <c r="F1708" s="39" t="s">
        <v>2063</v>
      </c>
      <c r="G1708" s="40">
        <v>500</v>
      </c>
      <c r="H1708" s="39" t="s">
        <v>101</v>
      </c>
      <c r="I1708" s="39"/>
      <c r="J1708" s="40">
        <v>20</v>
      </c>
      <c r="K1708" s="42">
        <v>139.80000000000001</v>
      </c>
      <c r="L1708" s="43"/>
      <c r="M1708" s="43">
        <f>L1708*K1708</f>
        <v>0</v>
      </c>
      <c r="N1708" s="35">
        <v>4690368017015</v>
      </c>
    </row>
    <row r="1709" spans="1:14" ht="12" customHeight="1" outlineLevel="2" x14ac:dyDescent="0.2">
      <c r="A1709" s="22"/>
      <c r="B1709" s="23"/>
      <c r="C1709" s="23"/>
      <c r="D1709" s="23"/>
      <c r="E1709" s="24"/>
      <c r="F1709" s="24" t="s">
        <v>2064</v>
      </c>
      <c r="G1709" s="24"/>
      <c r="H1709" s="24"/>
      <c r="I1709" s="24"/>
      <c r="J1709" s="24"/>
      <c r="K1709" s="24"/>
      <c r="L1709" s="24"/>
      <c r="M1709" s="24"/>
      <c r="N1709" s="25"/>
    </row>
    <row r="1710" spans="1:14" ht="24" customHeight="1" outlineLevel="3" x14ac:dyDescent="0.2">
      <c r="A1710" s="45">
        <v>14841</v>
      </c>
      <c r="B1710" s="37" t="str">
        <f>HYPERLINK("http://sedek.ru/upload/iblock/f99/sparzha_arzhentelskaya.jpg","фото")</f>
        <v>фото</v>
      </c>
      <c r="C1710" s="38"/>
      <c r="D1710" s="38"/>
      <c r="E1710" s="39"/>
      <c r="F1710" s="39" t="s">
        <v>2065</v>
      </c>
      <c r="G1710" s="44">
        <v>0.5</v>
      </c>
      <c r="H1710" s="39" t="s">
        <v>101</v>
      </c>
      <c r="I1710" s="39" t="s">
        <v>102</v>
      </c>
      <c r="J1710" s="41">
        <v>3000</v>
      </c>
      <c r="K1710" s="42">
        <v>18.8</v>
      </c>
      <c r="L1710" s="43"/>
      <c r="M1710" s="43">
        <f>L1710*K1710</f>
        <v>0</v>
      </c>
      <c r="N1710" s="35">
        <v>4690368015813</v>
      </c>
    </row>
    <row r="1711" spans="1:14" ht="24" customHeight="1" outlineLevel="3" x14ac:dyDescent="0.2">
      <c r="A1711" s="45">
        <v>14842</v>
      </c>
      <c r="B1711" s="37" t="str">
        <f>HYPERLINK("http://sedek.ru/upload/iblock/22c/sparzha_mariya.jpg","фото")</f>
        <v>фото</v>
      </c>
      <c r="C1711" s="38"/>
      <c r="D1711" s="38"/>
      <c r="E1711" s="39"/>
      <c r="F1711" s="39" t="s">
        <v>2066</v>
      </c>
      <c r="G1711" s="44">
        <v>0.5</v>
      </c>
      <c r="H1711" s="39" t="s">
        <v>101</v>
      </c>
      <c r="I1711" s="39" t="s">
        <v>102</v>
      </c>
      <c r="J1711" s="41">
        <v>3000</v>
      </c>
      <c r="K1711" s="42">
        <v>22.3</v>
      </c>
      <c r="L1711" s="43"/>
      <c r="M1711" s="43">
        <f>L1711*K1711</f>
        <v>0</v>
      </c>
      <c r="N1711" s="35">
        <v>4690368015875</v>
      </c>
    </row>
    <row r="1712" spans="1:14" ht="12" customHeight="1" outlineLevel="2" x14ac:dyDescent="0.2">
      <c r="A1712" s="22"/>
      <c r="B1712" s="23"/>
      <c r="C1712" s="23"/>
      <c r="D1712" s="23"/>
      <c r="E1712" s="24"/>
      <c r="F1712" s="24" t="s">
        <v>2067</v>
      </c>
      <c r="G1712" s="24"/>
      <c r="H1712" s="24"/>
      <c r="I1712" s="24"/>
      <c r="J1712" s="24"/>
      <c r="K1712" s="24"/>
      <c r="L1712" s="24"/>
      <c r="M1712" s="24"/>
      <c r="N1712" s="25"/>
    </row>
    <row r="1713" spans="1:14" ht="24" customHeight="1" outlineLevel="3" x14ac:dyDescent="0.2">
      <c r="A1713" s="45">
        <v>16672</v>
      </c>
      <c r="B1713" s="37" t="str">
        <f>HYPERLINK("http://sedek.ru/upload/iblock/1a1/tabak_kuritelnyy_virdzhiniya_202.jpg","фото")</f>
        <v>фото</v>
      </c>
      <c r="C1713" s="38"/>
      <c r="D1713" s="38"/>
      <c r="E1713" s="39"/>
      <c r="F1713" s="39" t="s">
        <v>2068</v>
      </c>
      <c r="G1713" s="54">
        <v>0.01</v>
      </c>
      <c r="H1713" s="39" t="s">
        <v>101</v>
      </c>
      <c r="I1713" s="39" t="s">
        <v>102</v>
      </c>
      <c r="J1713" s="41">
        <v>5000</v>
      </c>
      <c r="K1713" s="42">
        <v>20.5</v>
      </c>
      <c r="L1713" s="43"/>
      <c r="M1713" s="43">
        <f>L1713*K1713</f>
        <v>0</v>
      </c>
      <c r="N1713" s="35">
        <v>4690368024051</v>
      </c>
    </row>
    <row r="1714" spans="1:14" ht="24" customHeight="1" outlineLevel="3" x14ac:dyDescent="0.2">
      <c r="A1714" s="36" t="s">
        <v>2069</v>
      </c>
      <c r="B1714" s="37" t="str">
        <f>HYPERLINK("http://sedek.ru/upload/iblock/6c6/tabak_samsun_85_f1.jpg","фото")</f>
        <v>фото</v>
      </c>
      <c r="C1714" s="38"/>
      <c r="D1714" s="38"/>
      <c r="E1714" s="39"/>
      <c r="F1714" s="39" t="s">
        <v>2070</v>
      </c>
      <c r="G1714" s="54">
        <v>0.01</v>
      </c>
      <c r="H1714" s="39" t="s">
        <v>101</v>
      </c>
      <c r="I1714" s="39" t="s">
        <v>102</v>
      </c>
      <c r="J1714" s="41">
        <v>5000</v>
      </c>
      <c r="K1714" s="42">
        <v>20.5</v>
      </c>
      <c r="L1714" s="43"/>
      <c r="M1714" s="43">
        <f>L1714*K1714</f>
        <v>0</v>
      </c>
      <c r="N1714" s="35">
        <v>4690368026444</v>
      </c>
    </row>
    <row r="1715" spans="1:14" ht="12" customHeight="1" outlineLevel="2" x14ac:dyDescent="0.2">
      <c r="A1715" s="22"/>
      <c r="B1715" s="23"/>
      <c r="C1715" s="23"/>
      <c r="D1715" s="23"/>
      <c r="E1715" s="24"/>
      <c r="F1715" s="24" t="s">
        <v>2071</v>
      </c>
      <c r="G1715" s="24"/>
      <c r="H1715" s="24"/>
      <c r="I1715" s="24"/>
      <c r="J1715" s="24"/>
      <c r="K1715" s="24"/>
      <c r="L1715" s="24"/>
      <c r="M1715" s="24"/>
      <c r="N1715" s="25"/>
    </row>
    <row r="1716" spans="1:14" ht="24" customHeight="1" outlineLevel="3" x14ac:dyDescent="0.2">
      <c r="A1716" s="36" t="s">
        <v>2072</v>
      </c>
      <c r="B1716" s="37" t="str">
        <f>HYPERLINK("http://www.sedek.ru/upload/iblock/5ee/tomat_avatar_f1.jpg","фото")</f>
        <v>фото</v>
      </c>
      <c r="C1716" s="38"/>
      <c r="D1716" s="38" t="s">
        <v>266</v>
      </c>
      <c r="E1716" s="39"/>
      <c r="F1716" s="39" t="s">
        <v>2073</v>
      </c>
      <c r="G1716" s="54">
        <v>0.05</v>
      </c>
      <c r="H1716" s="39" t="s">
        <v>101</v>
      </c>
      <c r="I1716" s="39" t="s">
        <v>102</v>
      </c>
      <c r="J1716" s="41">
        <v>5000</v>
      </c>
      <c r="K1716" s="42">
        <v>37.299999999999997</v>
      </c>
      <c r="L1716" s="43"/>
      <c r="M1716" s="43">
        <f>L1716*K1716</f>
        <v>0</v>
      </c>
      <c r="N1716" s="35">
        <v>4690368033732</v>
      </c>
    </row>
    <row r="1717" spans="1:14" ht="36" customHeight="1" outlineLevel="3" x14ac:dyDescent="0.2">
      <c r="A1717" s="45">
        <v>14636</v>
      </c>
      <c r="B1717" s="37" t="str">
        <f>HYPERLINK("http://sedek.ru/upload/iblock/971/tomat_avrora_f1.jpg","фото")</f>
        <v>фото</v>
      </c>
      <c r="C1717" s="38"/>
      <c r="D1717" s="38"/>
      <c r="E1717" s="39"/>
      <c r="F1717" s="39" t="s">
        <v>2074</v>
      </c>
      <c r="G1717" s="54">
        <v>0.05</v>
      </c>
      <c r="H1717" s="39" t="s">
        <v>101</v>
      </c>
      <c r="I1717" s="39" t="s">
        <v>102</v>
      </c>
      <c r="J1717" s="41">
        <v>5000</v>
      </c>
      <c r="K1717" s="42">
        <v>40.799999999999997</v>
      </c>
      <c r="L1717" s="43"/>
      <c r="M1717" s="43">
        <f>L1717*K1717</f>
        <v>0</v>
      </c>
      <c r="N1717" s="35">
        <v>4607015184327</v>
      </c>
    </row>
    <row r="1718" spans="1:14" ht="24" customHeight="1" outlineLevel="3" x14ac:dyDescent="0.2">
      <c r="A1718" s="45">
        <v>15671</v>
      </c>
      <c r="B1718" s="37" t="str">
        <f>HYPERLINK("http://www.sedek.ru/upload/iblock/85e/tomat_azhur_f1.jpg","фото")</f>
        <v>фото</v>
      </c>
      <c r="C1718" s="38"/>
      <c r="D1718" s="38"/>
      <c r="E1718" s="39" t="s">
        <v>263</v>
      </c>
      <c r="F1718" s="39" t="s">
        <v>2075</v>
      </c>
      <c r="G1718" s="44">
        <v>0.1</v>
      </c>
      <c r="H1718" s="39" t="s">
        <v>101</v>
      </c>
      <c r="I1718" s="39" t="s">
        <v>102</v>
      </c>
      <c r="J1718" s="41">
        <v>4000</v>
      </c>
      <c r="K1718" s="42">
        <v>38.200000000000003</v>
      </c>
      <c r="L1718" s="43"/>
      <c r="M1718" s="43">
        <f>L1718*K1718</f>
        <v>0</v>
      </c>
      <c r="N1718" s="35">
        <v>4607015184402</v>
      </c>
    </row>
    <row r="1719" spans="1:14" ht="24" customHeight="1" outlineLevel="3" x14ac:dyDescent="0.2">
      <c r="A1719" s="45">
        <v>14175</v>
      </c>
      <c r="B1719" s="37" t="str">
        <f>HYPERLINK("http://sedek.ru/upload/iblock/0bf/tomat_aysberg.jpg","фото")</f>
        <v>фото</v>
      </c>
      <c r="C1719" s="38"/>
      <c r="D1719" s="38"/>
      <c r="E1719" s="39"/>
      <c r="F1719" s="39" t="s">
        <v>2076</v>
      </c>
      <c r="G1719" s="44">
        <v>0.2</v>
      </c>
      <c r="H1719" s="39" t="s">
        <v>101</v>
      </c>
      <c r="I1719" s="39" t="s">
        <v>102</v>
      </c>
      <c r="J1719" s="41">
        <v>3000</v>
      </c>
      <c r="K1719" s="42">
        <v>20</v>
      </c>
      <c r="L1719" s="43"/>
      <c r="M1719" s="43">
        <f>L1719*K1719</f>
        <v>0</v>
      </c>
      <c r="N1719" s="35">
        <v>4607015184426</v>
      </c>
    </row>
    <row r="1720" spans="1:14" ht="24" customHeight="1" outlineLevel="3" x14ac:dyDescent="0.2">
      <c r="A1720" s="45">
        <v>14175</v>
      </c>
      <c r="B1720" s="37" t="str">
        <f>HYPERLINK("http://sedek.ru/upload/iblock/0bf/tomat_aysberg.jpg","фото")</f>
        <v>фото</v>
      </c>
      <c r="C1720" s="38"/>
      <c r="D1720" s="38"/>
      <c r="E1720" s="39"/>
      <c r="F1720" s="39" t="s">
        <v>2077</v>
      </c>
      <c r="G1720" s="44">
        <v>0.2</v>
      </c>
      <c r="H1720" s="39" t="s">
        <v>101</v>
      </c>
      <c r="I1720" s="39" t="s">
        <v>287</v>
      </c>
      <c r="J1720" s="41">
        <v>3000</v>
      </c>
      <c r="K1720" s="42">
        <v>7.9</v>
      </c>
      <c r="L1720" s="43"/>
      <c r="M1720" s="43">
        <f>L1720*K1720</f>
        <v>0</v>
      </c>
      <c r="N1720" s="35">
        <v>4690368013307</v>
      </c>
    </row>
    <row r="1721" spans="1:14" ht="36" customHeight="1" outlineLevel="3" x14ac:dyDescent="0.2">
      <c r="A1721" s="36" t="s">
        <v>2078</v>
      </c>
      <c r="B1721" s="37" t="str">
        <f>HYPERLINK("http://sedek.ru/upload/iblock/5e8/tomat_aleksandr_velikiy_f1.jpg","фото")</f>
        <v>фото</v>
      </c>
      <c r="C1721" s="38"/>
      <c r="D1721" s="38"/>
      <c r="E1721" s="39" t="s">
        <v>2079</v>
      </c>
      <c r="F1721" s="39" t="s">
        <v>2080</v>
      </c>
      <c r="G1721" s="54">
        <v>0.03</v>
      </c>
      <c r="H1721" s="39" t="s">
        <v>101</v>
      </c>
      <c r="I1721" s="39" t="s">
        <v>102</v>
      </c>
      <c r="J1721" s="41">
        <v>5000</v>
      </c>
      <c r="K1721" s="42">
        <v>48.7</v>
      </c>
      <c r="L1721" s="43"/>
      <c r="M1721" s="43">
        <f>L1721*K1721</f>
        <v>0</v>
      </c>
      <c r="N1721" s="35">
        <v>4690368027465</v>
      </c>
    </row>
    <row r="1722" spans="1:14" ht="36" customHeight="1" outlineLevel="3" x14ac:dyDescent="0.2">
      <c r="A1722" s="36" t="s">
        <v>2081</v>
      </c>
      <c r="B1722" s="37" t="str">
        <f>HYPERLINK("http://www.sedek.ru/upload/iblock/cf3/tomat_aleksandr_vtoroy_f1.jpg","фото")</f>
        <v>фото</v>
      </c>
      <c r="C1722" s="38"/>
      <c r="D1722" s="38"/>
      <c r="E1722" s="39" t="s">
        <v>2079</v>
      </c>
      <c r="F1722" s="39" t="s">
        <v>2082</v>
      </c>
      <c r="G1722" s="54">
        <v>0.03</v>
      </c>
      <c r="H1722" s="39" t="s">
        <v>101</v>
      </c>
      <c r="I1722" s="39" t="s">
        <v>102</v>
      </c>
      <c r="J1722" s="41">
        <v>5000</v>
      </c>
      <c r="K1722" s="42">
        <v>42.9</v>
      </c>
      <c r="L1722" s="43"/>
      <c r="M1722" s="43">
        <f>L1722*K1722</f>
        <v>0</v>
      </c>
      <c r="N1722" s="35">
        <v>4690368032551</v>
      </c>
    </row>
    <row r="1723" spans="1:14" ht="36" customHeight="1" outlineLevel="3" x14ac:dyDescent="0.2">
      <c r="A1723" s="36" t="s">
        <v>2083</v>
      </c>
      <c r="B1723" s="37" t="str">
        <f>HYPERLINK("http://www.sedek.ru/upload/iblock/35e/tomat_aleksandr_pervyy_f1.jpg","фото")</f>
        <v>фото</v>
      </c>
      <c r="C1723" s="38"/>
      <c r="D1723" s="38"/>
      <c r="E1723" s="39" t="s">
        <v>2079</v>
      </c>
      <c r="F1723" s="39" t="s">
        <v>2084</v>
      </c>
      <c r="G1723" s="54">
        <v>0.03</v>
      </c>
      <c r="H1723" s="39" t="s">
        <v>101</v>
      </c>
      <c r="I1723" s="39" t="s">
        <v>102</v>
      </c>
      <c r="J1723" s="41">
        <v>5000</v>
      </c>
      <c r="K1723" s="42">
        <v>42.9</v>
      </c>
      <c r="L1723" s="43"/>
      <c r="M1723" s="43">
        <f>L1723*K1723</f>
        <v>0</v>
      </c>
      <c r="N1723" s="35">
        <v>4690368032544</v>
      </c>
    </row>
    <row r="1724" spans="1:14" ht="24" customHeight="1" outlineLevel="3" x14ac:dyDescent="0.2">
      <c r="A1724" s="45">
        <v>17003</v>
      </c>
      <c r="B1724" s="37" t="str">
        <f>HYPERLINK("http://www.sedek.ru/upload/iblock/c30/tomat_alekseevna_f1.jpg","фото")</f>
        <v>фото</v>
      </c>
      <c r="C1724" s="38"/>
      <c r="D1724" s="38"/>
      <c r="E1724" s="39"/>
      <c r="F1724" s="39" t="s">
        <v>2085</v>
      </c>
      <c r="G1724" s="54">
        <v>0.05</v>
      </c>
      <c r="H1724" s="39" t="s">
        <v>101</v>
      </c>
      <c r="I1724" s="39" t="s">
        <v>102</v>
      </c>
      <c r="J1724" s="41">
        <v>5000</v>
      </c>
      <c r="K1724" s="42">
        <v>32.6</v>
      </c>
      <c r="L1724" s="43"/>
      <c r="M1724" s="43">
        <f>L1724*K1724</f>
        <v>0</v>
      </c>
      <c r="N1724" s="35">
        <v>4690368024013</v>
      </c>
    </row>
    <row r="1725" spans="1:14" ht="36" customHeight="1" outlineLevel="3" x14ac:dyDescent="0.2">
      <c r="A1725" s="36" t="s">
        <v>2086</v>
      </c>
      <c r="B1725" s="37" t="str">
        <f>HYPERLINK("http://www.sedek.ru/upload/iblock/a26/tomat_alpateva_905a.jpg","Фото")</f>
        <v>Фото</v>
      </c>
      <c r="C1725" s="38"/>
      <c r="D1725" s="38"/>
      <c r="E1725" s="39"/>
      <c r="F1725" s="39" t="s">
        <v>2087</v>
      </c>
      <c r="G1725" s="44">
        <v>0.1</v>
      </c>
      <c r="H1725" s="39" t="s">
        <v>101</v>
      </c>
      <c r="I1725" s="39" t="s">
        <v>102</v>
      </c>
      <c r="J1725" s="41">
        <v>4000</v>
      </c>
      <c r="K1725" s="42">
        <v>19.100000000000001</v>
      </c>
      <c r="L1725" s="43"/>
      <c r="M1725" s="43">
        <f>L1725*K1725</f>
        <v>0</v>
      </c>
      <c r="N1725" s="35">
        <v>4690368030540</v>
      </c>
    </row>
    <row r="1726" spans="1:14" ht="24" customHeight="1" outlineLevel="3" x14ac:dyDescent="0.2">
      <c r="A1726" s="45">
        <v>14053</v>
      </c>
      <c r="B1726" s="37" t="str">
        <f>HYPERLINK("http://www.sedek.ru/upload/iblock/51d/tomat_alfa.jpg","фото")</f>
        <v>фото</v>
      </c>
      <c r="C1726" s="38"/>
      <c r="D1726" s="38"/>
      <c r="E1726" s="39"/>
      <c r="F1726" s="39" t="s">
        <v>2088</v>
      </c>
      <c r="G1726" s="44">
        <v>0.1</v>
      </c>
      <c r="H1726" s="39" t="s">
        <v>101</v>
      </c>
      <c r="I1726" s="39" t="s">
        <v>102</v>
      </c>
      <c r="J1726" s="41">
        <v>4000</v>
      </c>
      <c r="K1726" s="42">
        <v>20</v>
      </c>
      <c r="L1726" s="43"/>
      <c r="M1726" s="43">
        <f>L1726*K1726</f>
        <v>0</v>
      </c>
      <c r="N1726" s="35">
        <v>4607015184488</v>
      </c>
    </row>
    <row r="1727" spans="1:14" ht="24" customHeight="1" outlineLevel="3" x14ac:dyDescent="0.2">
      <c r="A1727" s="45">
        <v>14053</v>
      </c>
      <c r="B1727" s="37" t="str">
        <f>HYPERLINK("http://www.sedek.ru/upload/iblock/51d/tomat_alfa.jpg","фото")</f>
        <v>фото</v>
      </c>
      <c r="C1727" s="38"/>
      <c r="D1727" s="38"/>
      <c r="E1727" s="39"/>
      <c r="F1727" s="39" t="s">
        <v>2089</v>
      </c>
      <c r="G1727" s="44">
        <v>0.1</v>
      </c>
      <c r="H1727" s="39" t="s">
        <v>101</v>
      </c>
      <c r="I1727" s="39" t="s">
        <v>287</v>
      </c>
      <c r="J1727" s="41">
        <v>4000</v>
      </c>
      <c r="K1727" s="42">
        <v>7.4</v>
      </c>
      <c r="L1727" s="43"/>
      <c r="M1727" s="43">
        <f>L1727*K1727</f>
        <v>0</v>
      </c>
      <c r="N1727" s="35">
        <v>4690368011624</v>
      </c>
    </row>
    <row r="1728" spans="1:14" ht="36" customHeight="1" outlineLevel="3" x14ac:dyDescent="0.2">
      <c r="A1728" s="45">
        <v>15816</v>
      </c>
      <c r="B1728" s="37" t="str">
        <f>HYPERLINK("http://sedek.ru/upload/iblock/ed6/tomat_alyaska_smes.jpg","фото")</f>
        <v>фото</v>
      </c>
      <c r="C1728" s="38"/>
      <c r="D1728" s="38" t="s">
        <v>266</v>
      </c>
      <c r="E1728" s="39" t="s">
        <v>2090</v>
      </c>
      <c r="F1728" s="39" t="s">
        <v>2091</v>
      </c>
      <c r="G1728" s="44">
        <v>0.2</v>
      </c>
      <c r="H1728" s="39" t="s">
        <v>101</v>
      </c>
      <c r="I1728" s="39" t="s">
        <v>102</v>
      </c>
      <c r="J1728" s="41">
        <v>3000</v>
      </c>
      <c r="K1728" s="42">
        <v>20</v>
      </c>
      <c r="L1728" s="43"/>
      <c r="M1728" s="43">
        <f>L1728*K1728</f>
        <v>0</v>
      </c>
      <c r="N1728" s="35">
        <v>4690368011068</v>
      </c>
    </row>
    <row r="1729" spans="1:14" ht="24" customHeight="1" outlineLevel="3" x14ac:dyDescent="0.2">
      <c r="A1729" s="36" t="s">
        <v>2092</v>
      </c>
      <c r="B1729" s="37" t="str">
        <f>HYPERLINK("http://sedek.ru/upload/iblock/0d8/tomat_amazonka_shokoladnaya.jpg","фото")</f>
        <v>фото</v>
      </c>
      <c r="C1729" s="38" t="s">
        <v>266</v>
      </c>
      <c r="D1729" s="38"/>
      <c r="E1729" s="39" t="s">
        <v>2093</v>
      </c>
      <c r="F1729" s="39" t="s">
        <v>2094</v>
      </c>
      <c r="G1729" s="44">
        <v>0.1</v>
      </c>
      <c r="H1729" s="39" t="s">
        <v>101</v>
      </c>
      <c r="I1729" s="39" t="s">
        <v>102</v>
      </c>
      <c r="J1729" s="41">
        <v>3000</v>
      </c>
      <c r="K1729" s="42">
        <v>46.1</v>
      </c>
      <c r="L1729" s="43"/>
      <c r="M1729" s="43">
        <f>L1729*K1729</f>
        <v>0</v>
      </c>
      <c r="N1729" s="35">
        <v>4690368039604</v>
      </c>
    </row>
    <row r="1730" spans="1:14" ht="24" customHeight="1" outlineLevel="3" x14ac:dyDescent="0.2">
      <c r="A1730" s="45">
        <v>16357</v>
      </c>
      <c r="B1730" s="37" t="str">
        <f>HYPERLINK("http://www.sedek.ru/upload/iblock/9dc/tomat_amurskaya_zarya.jpg","фото")</f>
        <v>фото</v>
      </c>
      <c r="C1730" s="38"/>
      <c r="D1730" s="38"/>
      <c r="E1730" s="39" t="s">
        <v>2090</v>
      </c>
      <c r="F1730" s="39" t="s">
        <v>2095</v>
      </c>
      <c r="G1730" s="44">
        <v>0.1</v>
      </c>
      <c r="H1730" s="39" t="s">
        <v>101</v>
      </c>
      <c r="I1730" s="39" t="s">
        <v>102</v>
      </c>
      <c r="J1730" s="41">
        <v>4000</v>
      </c>
      <c r="K1730" s="42">
        <v>19.100000000000001</v>
      </c>
      <c r="L1730" s="43"/>
      <c r="M1730" s="43">
        <f>L1730*K1730</f>
        <v>0</v>
      </c>
      <c r="N1730" s="35">
        <v>4607015184525</v>
      </c>
    </row>
    <row r="1731" spans="1:14" ht="36" customHeight="1" outlineLevel="3" x14ac:dyDescent="0.2">
      <c r="A1731" s="36" t="s">
        <v>2096</v>
      </c>
      <c r="B1731" s="37" t="str">
        <f>HYPERLINK("http://sedek.ru/upload/iblock/221/tomat_amurskiy_shtamb.jpg","фото")</f>
        <v>фото</v>
      </c>
      <c r="C1731" s="38"/>
      <c r="D1731" s="38"/>
      <c r="E1731" s="39" t="s">
        <v>2090</v>
      </c>
      <c r="F1731" s="39" t="s">
        <v>2097</v>
      </c>
      <c r="G1731" s="44">
        <v>0.1</v>
      </c>
      <c r="H1731" s="39" t="s">
        <v>101</v>
      </c>
      <c r="I1731" s="39" t="s">
        <v>102</v>
      </c>
      <c r="J1731" s="41">
        <v>4000</v>
      </c>
      <c r="K1731" s="42">
        <v>18.8</v>
      </c>
      <c r="L1731" s="43"/>
      <c r="M1731" s="43">
        <f>L1731*K1731</f>
        <v>0</v>
      </c>
      <c r="N1731" s="35">
        <v>4607015184549</v>
      </c>
    </row>
    <row r="1732" spans="1:14" ht="24" customHeight="1" outlineLevel="3" x14ac:dyDescent="0.2">
      <c r="A1732" s="45">
        <v>14717</v>
      </c>
      <c r="B1732" s="37" t="str">
        <f>HYPERLINK("http://sedek.ru/upload/iblock/c1a/tomat_andromeda_f1.jpg","фото")</f>
        <v>фото</v>
      </c>
      <c r="C1732" s="38"/>
      <c r="D1732" s="38"/>
      <c r="E1732" s="39"/>
      <c r="F1732" s="39" t="s">
        <v>2098</v>
      </c>
      <c r="G1732" s="54">
        <v>0.05</v>
      </c>
      <c r="H1732" s="39" t="s">
        <v>101</v>
      </c>
      <c r="I1732" s="39" t="s">
        <v>102</v>
      </c>
      <c r="J1732" s="41">
        <v>5000</v>
      </c>
      <c r="K1732" s="42">
        <v>22.7</v>
      </c>
      <c r="L1732" s="43"/>
      <c r="M1732" s="43">
        <f>L1732*K1732</f>
        <v>0</v>
      </c>
      <c r="N1732" s="35">
        <v>4607015184563</v>
      </c>
    </row>
    <row r="1733" spans="1:14" ht="24" customHeight="1" outlineLevel="3" x14ac:dyDescent="0.2">
      <c r="A1733" s="36" t="s">
        <v>2099</v>
      </c>
      <c r="B1733" s="37" t="str">
        <f>HYPERLINK("http://sedek.ru/upload/iblock/592/tomat_anya.jpg","фото")</f>
        <v>фото</v>
      </c>
      <c r="C1733" s="38"/>
      <c r="D1733" s="38" t="s">
        <v>266</v>
      </c>
      <c r="E1733" s="39"/>
      <c r="F1733" s="39" t="s">
        <v>2100</v>
      </c>
      <c r="G1733" s="44">
        <v>0.1</v>
      </c>
      <c r="H1733" s="39" t="s">
        <v>101</v>
      </c>
      <c r="I1733" s="39" t="s">
        <v>102</v>
      </c>
      <c r="J1733" s="41">
        <v>4000</v>
      </c>
      <c r="K1733" s="42">
        <v>20.5</v>
      </c>
      <c r="L1733" s="43"/>
      <c r="M1733" s="43">
        <f>L1733*K1733</f>
        <v>0</v>
      </c>
      <c r="N1733" s="35">
        <v>4607015184587</v>
      </c>
    </row>
    <row r="1734" spans="1:14" ht="24" customHeight="1" outlineLevel="3" x14ac:dyDescent="0.2">
      <c r="A1734" s="45">
        <v>13877</v>
      </c>
      <c r="B1734" s="37" t="str">
        <f>HYPERLINK("http://sedek.ru/upload/iblock/bdb/tomat_apelsin.jpg","фото")</f>
        <v>фото</v>
      </c>
      <c r="C1734" s="38"/>
      <c r="D1734" s="38"/>
      <c r="E1734" s="39"/>
      <c r="F1734" s="39" t="s">
        <v>2101</v>
      </c>
      <c r="G1734" s="44">
        <v>0.1</v>
      </c>
      <c r="H1734" s="39" t="s">
        <v>101</v>
      </c>
      <c r="I1734" s="39" t="s">
        <v>102</v>
      </c>
      <c r="J1734" s="41">
        <v>4000</v>
      </c>
      <c r="K1734" s="42">
        <v>16.399999999999999</v>
      </c>
      <c r="L1734" s="43"/>
      <c r="M1734" s="43">
        <f>L1734*K1734</f>
        <v>0</v>
      </c>
      <c r="N1734" s="35">
        <v>4607015184600</v>
      </c>
    </row>
    <row r="1735" spans="1:14" ht="36" customHeight="1" outlineLevel="3" x14ac:dyDescent="0.2">
      <c r="A1735" s="45">
        <v>13935</v>
      </c>
      <c r="B1735" s="37" t="str">
        <f>HYPERLINK("http://sedek.ru/upload/iblock/814/tomat_aristokrat_f1.jpg","фото")</f>
        <v>фото</v>
      </c>
      <c r="C1735" s="38"/>
      <c r="D1735" s="38"/>
      <c r="E1735" s="39"/>
      <c r="F1735" s="39" t="s">
        <v>2102</v>
      </c>
      <c r="G1735" s="54">
        <v>0.05</v>
      </c>
      <c r="H1735" s="39" t="s">
        <v>101</v>
      </c>
      <c r="I1735" s="39" t="s">
        <v>102</v>
      </c>
      <c r="J1735" s="41">
        <v>5000</v>
      </c>
      <c r="K1735" s="42">
        <v>40.299999999999997</v>
      </c>
      <c r="L1735" s="43"/>
      <c r="M1735" s="43">
        <f>L1735*K1735</f>
        <v>0</v>
      </c>
      <c r="N1735" s="35">
        <v>4607015184624</v>
      </c>
    </row>
    <row r="1736" spans="1:14" ht="24" customHeight="1" outlineLevel="3" x14ac:dyDescent="0.2">
      <c r="A1736" s="45">
        <v>15886</v>
      </c>
      <c r="B1736" s="37" t="str">
        <f>HYPERLINK("http://sedek.ru/upload/iblock/35f/tomat_artist_f1.jpg","фото")</f>
        <v>фото</v>
      </c>
      <c r="C1736" s="38"/>
      <c r="D1736" s="38"/>
      <c r="E1736" s="39"/>
      <c r="F1736" s="39" t="s">
        <v>2103</v>
      </c>
      <c r="G1736" s="54">
        <v>0.05</v>
      </c>
      <c r="H1736" s="39" t="s">
        <v>101</v>
      </c>
      <c r="I1736" s="39" t="s">
        <v>102</v>
      </c>
      <c r="J1736" s="41">
        <v>5000</v>
      </c>
      <c r="K1736" s="42">
        <v>38.200000000000003</v>
      </c>
      <c r="L1736" s="43"/>
      <c r="M1736" s="43">
        <f>L1736*K1736</f>
        <v>0</v>
      </c>
      <c r="N1736" s="35">
        <v>4607015184662</v>
      </c>
    </row>
    <row r="1737" spans="1:14" ht="36" customHeight="1" outlineLevel="3" x14ac:dyDescent="0.2">
      <c r="A1737" s="36" t="s">
        <v>2104</v>
      </c>
      <c r="B1737" s="37" t="str">
        <f>HYPERLINK("http://sedek.ru/upload/iblock/e92/tomat_balkonnoe_chudo.jpg","фото")</f>
        <v>фото</v>
      </c>
      <c r="C1737" s="38"/>
      <c r="D1737" s="38"/>
      <c r="E1737" s="39"/>
      <c r="F1737" s="39" t="s">
        <v>2105</v>
      </c>
      <c r="G1737" s="44">
        <v>0.1</v>
      </c>
      <c r="H1737" s="39" t="s">
        <v>101</v>
      </c>
      <c r="I1737" s="39" t="s">
        <v>102</v>
      </c>
      <c r="J1737" s="41">
        <v>4000</v>
      </c>
      <c r="K1737" s="42">
        <v>18.8</v>
      </c>
      <c r="L1737" s="43"/>
      <c r="M1737" s="43">
        <f>L1737*K1737</f>
        <v>0</v>
      </c>
      <c r="N1737" s="35">
        <v>4607015184747</v>
      </c>
    </row>
    <row r="1738" spans="1:14" ht="36" customHeight="1" outlineLevel="3" x14ac:dyDescent="0.2">
      <c r="A1738" s="45">
        <v>17002</v>
      </c>
      <c r="B1738" s="37" t="str">
        <f>HYPERLINK("http://www.sedek.ru/upload/iblock/1fa/tomat_balkonnyy_f1.jpg","фото")</f>
        <v>фото</v>
      </c>
      <c r="C1738" s="38"/>
      <c r="D1738" s="38"/>
      <c r="E1738" s="39"/>
      <c r="F1738" s="39" t="s">
        <v>2106</v>
      </c>
      <c r="G1738" s="44">
        <v>0.1</v>
      </c>
      <c r="H1738" s="39" t="s">
        <v>101</v>
      </c>
      <c r="I1738" s="39" t="s">
        <v>102</v>
      </c>
      <c r="J1738" s="41">
        <v>4000</v>
      </c>
      <c r="K1738" s="42">
        <v>20</v>
      </c>
      <c r="L1738" s="43"/>
      <c r="M1738" s="43">
        <f>L1738*K1738</f>
        <v>0</v>
      </c>
      <c r="N1738" s="35">
        <v>4690368022187</v>
      </c>
    </row>
    <row r="1739" spans="1:14" ht="24" customHeight="1" outlineLevel="3" x14ac:dyDescent="0.2">
      <c r="A1739" s="45">
        <v>13688</v>
      </c>
      <c r="B1739" s="37" t="str">
        <f>HYPERLINK("http://sedek.ru/upload/iblock/fa0/tomat_banochnyy.jpg","фото")</f>
        <v>фото</v>
      </c>
      <c r="C1739" s="38"/>
      <c r="D1739" s="38"/>
      <c r="E1739" s="39"/>
      <c r="F1739" s="39" t="s">
        <v>2107</v>
      </c>
      <c r="G1739" s="44">
        <v>0.1</v>
      </c>
      <c r="H1739" s="39" t="s">
        <v>101</v>
      </c>
      <c r="I1739" s="39" t="s">
        <v>102</v>
      </c>
      <c r="J1739" s="41">
        <v>4000</v>
      </c>
      <c r="K1739" s="42">
        <v>20</v>
      </c>
      <c r="L1739" s="43"/>
      <c r="M1739" s="43">
        <f>L1739*K1739</f>
        <v>0</v>
      </c>
      <c r="N1739" s="35">
        <v>4690368022194</v>
      </c>
    </row>
    <row r="1740" spans="1:14" ht="24" customHeight="1" outlineLevel="3" x14ac:dyDescent="0.2">
      <c r="A1740" s="45">
        <v>13688</v>
      </c>
      <c r="B1740" s="37" t="str">
        <f>HYPERLINK("http://sedek.ru/upload/iblock/fa0/tomat_banochnyy.jpg","фото")</f>
        <v>фото</v>
      </c>
      <c r="C1740" s="38"/>
      <c r="D1740" s="38"/>
      <c r="E1740" s="39"/>
      <c r="F1740" s="39" t="s">
        <v>2108</v>
      </c>
      <c r="G1740" s="44">
        <v>0.1</v>
      </c>
      <c r="H1740" s="39" t="s">
        <v>101</v>
      </c>
      <c r="I1740" s="39" t="s">
        <v>287</v>
      </c>
      <c r="J1740" s="41">
        <v>4000</v>
      </c>
      <c r="K1740" s="42">
        <v>7.8</v>
      </c>
      <c r="L1740" s="43"/>
      <c r="M1740" s="43">
        <f>L1740*K1740</f>
        <v>0</v>
      </c>
      <c r="N1740" s="35">
        <v>4690368044035</v>
      </c>
    </row>
    <row r="1741" spans="1:14" ht="24" customHeight="1" outlineLevel="3" x14ac:dyDescent="0.2">
      <c r="A1741" s="45">
        <v>14775</v>
      </c>
      <c r="B1741" s="37" t="str">
        <f>HYPERLINK("http://sedek.ru/upload/iblock/31e/tomat_barin_f1.jpg","фото")</f>
        <v>фото</v>
      </c>
      <c r="C1741" s="38"/>
      <c r="D1741" s="38" t="s">
        <v>266</v>
      </c>
      <c r="E1741" s="39"/>
      <c r="F1741" s="39" t="s">
        <v>2109</v>
      </c>
      <c r="G1741" s="54">
        <v>0.05</v>
      </c>
      <c r="H1741" s="39" t="s">
        <v>101</v>
      </c>
      <c r="I1741" s="39" t="s">
        <v>102</v>
      </c>
      <c r="J1741" s="41">
        <v>5000</v>
      </c>
      <c r="K1741" s="42">
        <v>50.7</v>
      </c>
      <c r="L1741" s="43"/>
      <c r="M1741" s="43">
        <f>L1741*K1741</f>
        <v>0</v>
      </c>
      <c r="N1741" s="35">
        <v>4690368008150</v>
      </c>
    </row>
    <row r="1742" spans="1:14" ht="24" customHeight="1" outlineLevel="3" x14ac:dyDescent="0.2">
      <c r="A1742" s="45">
        <v>16058</v>
      </c>
      <c r="B1742" s="37" t="str">
        <f>HYPERLINK("http://www.sedek.ru/upload/iblock/dbf/tomat_baronessa_f1.jpg","фото")</f>
        <v>фото</v>
      </c>
      <c r="C1742" s="38"/>
      <c r="D1742" s="38" t="s">
        <v>266</v>
      </c>
      <c r="E1742" s="39"/>
      <c r="F1742" s="39" t="s">
        <v>2110</v>
      </c>
      <c r="G1742" s="54">
        <v>0.05</v>
      </c>
      <c r="H1742" s="39" t="s">
        <v>101</v>
      </c>
      <c r="I1742" s="39" t="s">
        <v>102</v>
      </c>
      <c r="J1742" s="41">
        <v>5000</v>
      </c>
      <c r="K1742" s="42">
        <v>37.299999999999997</v>
      </c>
      <c r="L1742" s="43"/>
      <c r="M1742" s="43">
        <f>L1742*K1742</f>
        <v>0</v>
      </c>
      <c r="N1742" s="35">
        <v>4690368008068</v>
      </c>
    </row>
    <row r="1743" spans="1:14" ht="36" customHeight="1" outlineLevel="3" x14ac:dyDescent="0.2">
      <c r="A1743" s="36" t="s">
        <v>2111</v>
      </c>
      <c r="B1743" s="37" t="str">
        <f>HYPERLINK("http://www.sedek.ru/upload/iblock/149/43sc8yydsxtieh5c0e1hy24q9tbhmey8/tomat_begemot_korichnevyy.png","Фото")</f>
        <v>Фото</v>
      </c>
      <c r="C1743" s="38" t="s">
        <v>266</v>
      </c>
      <c r="D1743" s="38" t="s">
        <v>266</v>
      </c>
      <c r="E1743" s="39" t="s">
        <v>2093</v>
      </c>
      <c r="F1743" s="39" t="s">
        <v>2112</v>
      </c>
      <c r="G1743" s="54">
        <v>0.05</v>
      </c>
      <c r="H1743" s="39"/>
      <c r="I1743" s="39" t="s">
        <v>102</v>
      </c>
      <c r="J1743" s="41">
        <v>5000</v>
      </c>
      <c r="K1743" s="42">
        <v>46.1</v>
      </c>
      <c r="L1743" s="43"/>
      <c r="M1743" s="43">
        <f>L1743*K1743</f>
        <v>0</v>
      </c>
      <c r="N1743" s="35">
        <v>4690368043021</v>
      </c>
    </row>
    <row r="1744" spans="1:14" ht="36" customHeight="1" outlineLevel="3" x14ac:dyDescent="0.2">
      <c r="A1744" s="36" t="s">
        <v>2113</v>
      </c>
      <c r="B1744" s="37" t="str">
        <f>HYPERLINK("http://www.sedek.ru/upload/iblock/109/tomat_begemot_malinovyy_f1.jpg","Фото")</f>
        <v>Фото</v>
      </c>
      <c r="C1744" s="38"/>
      <c r="D1744" s="38"/>
      <c r="E1744" s="39"/>
      <c r="F1744" s="39" t="s">
        <v>2114</v>
      </c>
      <c r="G1744" s="54">
        <v>0.05</v>
      </c>
      <c r="H1744" s="39" t="s">
        <v>101</v>
      </c>
      <c r="I1744" s="39" t="s">
        <v>102</v>
      </c>
      <c r="J1744" s="41">
        <v>5000</v>
      </c>
      <c r="K1744" s="42">
        <v>37.299999999999997</v>
      </c>
      <c r="L1744" s="43"/>
      <c r="M1744" s="43">
        <f>L1744*K1744</f>
        <v>0</v>
      </c>
      <c r="N1744" s="35">
        <v>4690368028073</v>
      </c>
    </row>
    <row r="1745" spans="1:14" ht="12" customHeight="1" outlineLevel="3" x14ac:dyDescent="0.2">
      <c r="A1745" s="36" t="s">
        <v>2115</v>
      </c>
      <c r="B1745" s="37" t="str">
        <f>HYPERLINK("http://www.sedek.ru/upload/iblock/fe5/ayymt6ygufcwxtoavik6twq6p542446j/tomat_begemot_rozovyy.jpg","Фото")</f>
        <v>Фото</v>
      </c>
      <c r="C1745" s="38" t="s">
        <v>266</v>
      </c>
      <c r="D1745" s="38" t="s">
        <v>266</v>
      </c>
      <c r="E1745" s="39"/>
      <c r="F1745" s="39" t="s">
        <v>2116</v>
      </c>
      <c r="G1745" s="54">
        <v>0.05</v>
      </c>
      <c r="H1745" s="39"/>
      <c r="I1745" s="39" t="s">
        <v>102</v>
      </c>
      <c r="J1745" s="41">
        <v>5000</v>
      </c>
      <c r="K1745" s="42">
        <v>34.799999999999997</v>
      </c>
      <c r="L1745" s="43"/>
      <c r="M1745" s="43">
        <f>L1745*K1745</f>
        <v>0</v>
      </c>
      <c r="N1745" s="35">
        <v>4690368044875</v>
      </c>
    </row>
    <row r="1746" spans="1:14" ht="24" customHeight="1" outlineLevel="3" x14ac:dyDescent="0.2">
      <c r="A1746" s="45">
        <v>16308</v>
      </c>
      <c r="B1746" s="37" t="str">
        <f>HYPERLINK("http://www.sedek.ru/upload/iblock/e17/tomat_belyy_naliv_241.jpg","фото")</f>
        <v>фото</v>
      </c>
      <c r="C1746" s="38"/>
      <c r="D1746" s="38"/>
      <c r="E1746" s="39"/>
      <c r="F1746" s="39" t="s">
        <v>2117</v>
      </c>
      <c r="G1746" s="44">
        <v>0.1</v>
      </c>
      <c r="H1746" s="39" t="s">
        <v>101</v>
      </c>
      <c r="I1746" s="39" t="s">
        <v>102</v>
      </c>
      <c r="J1746" s="41">
        <v>4000</v>
      </c>
      <c r="K1746" s="42">
        <v>15.6</v>
      </c>
      <c r="L1746" s="43"/>
      <c r="M1746" s="43">
        <f>L1746*K1746</f>
        <v>0</v>
      </c>
      <c r="N1746" s="35">
        <v>4607015184884</v>
      </c>
    </row>
    <row r="1747" spans="1:14" ht="36" customHeight="1" outlineLevel="3" x14ac:dyDescent="0.2">
      <c r="A1747" s="45">
        <v>14780</v>
      </c>
      <c r="B1747" s="37" t="str">
        <f>HYPERLINK("http://www.sedek.ru/upload/iblock/a87/tomat_betalyuks.jpg","фото")</f>
        <v>фото</v>
      </c>
      <c r="C1747" s="38"/>
      <c r="D1747" s="38"/>
      <c r="E1747" s="39" t="s">
        <v>2090</v>
      </c>
      <c r="F1747" s="39" t="s">
        <v>2118</v>
      </c>
      <c r="G1747" s="44">
        <v>0.1</v>
      </c>
      <c r="H1747" s="39" t="s">
        <v>101</v>
      </c>
      <c r="I1747" s="39" t="s">
        <v>102</v>
      </c>
      <c r="J1747" s="41">
        <v>4000</v>
      </c>
      <c r="K1747" s="42">
        <v>16.399999999999999</v>
      </c>
      <c r="L1747" s="43"/>
      <c r="M1747" s="43">
        <f>L1747*K1747</f>
        <v>0</v>
      </c>
      <c r="N1747" s="35">
        <v>4607015184907</v>
      </c>
    </row>
    <row r="1748" spans="1:14" ht="36" customHeight="1" outlineLevel="3" x14ac:dyDescent="0.2">
      <c r="A1748" s="45">
        <v>14780</v>
      </c>
      <c r="B1748" s="37" t="str">
        <f>HYPERLINK("http://www.sedek.ru/upload/iblock/a87/tomat_betalyuks.jpg","фото")</f>
        <v>фото</v>
      </c>
      <c r="C1748" s="38"/>
      <c r="D1748" s="38"/>
      <c r="E1748" s="39" t="s">
        <v>2090</v>
      </c>
      <c r="F1748" s="39" t="s">
        <v>2119</v>
      </c>
      <c r="G1748" s="44">
        <v>0.1</v>
      </c>
      <c r="H1748" s="39" t="s">
        <v>101</v>
      </c>
      <c r="I1748" s="39" t="s">
        <v>287</v>
      </c>
      <c r="J1748" s="41">
        <v>4000</v>
      </c>
      <c r="K1748" s="42">
        <v>7.1</v>
      </c>
      <c r="L1748" s="43"/>
      <c r="M1748" s="43">
        <f>L1748*K1748</f>
        <v>0</v>
      </c>
      <c r="N1748" s="35">
        <v>4690368011631</v>
      </c>
    </row>
    <row r="1749" spans="1:14" ht="36" customHeight="1" outlineLevel="3" x14ac:dyDescent="0.2">
      <c r="A1749" s="45">
        <v>14155</v>
      </c>
      <c r="B1749" s="37" t="str">
        <f>HYPERLINK("http://sedek.ru/upload/iblock/524/tomat_bistro_f1.jpg","фото")</f>
        <v>фото</v>
      </c>
      <c r="C1749" s="38"/>
      <c r="D1749" s="38"/>
      <c r="E1749" s="39"/>
      <c r="F1749" s="39" t="s">
        <v>2120</v>
      </c>
      <c r="G1749" s="54">
        <v>0.05</v>
      </c>
      <c r="H1749" s="39" t="s">
        <v>101</v>
      </c>
      <c r="I1749" s="39" t="s">
        <v>102</v>
      </c>
      <c r="J1749" s="41">
        <v>5000</v>
      </c>
      <c r="K1749" s="42">
        <v>30.3</v>
      </c>
      <c r="L1749" s="43"/>
      <c r="M1749" s="43">
        <f>L1749*K1749</f>
        <v>0</v>
      </c>
      <c r="N1749" s="35">
        <v>4607015184945</v>
      </c>
    </row>
    <row r="1750" spans="1:14" ht="24" customHeight="1" outlineLevel="3" x14ac:dyDescent="0.2">
      <c r="A1750" s="36" t="s">
        <v>2121</v>
      </c>
      <c r="B1750" s="37" t="str">
        <f>HYPERLINK("http://sedek.ru/upload/iblock/9c6/tomat_bif.jpg","фото")</f>
        <v>фото</v>
      </c>
      <c r="C1750" s="38"/>
      <c r="D1750" s="38"/>
      <c r="E1750" s="39"/>
      <c r="F1750" s="39" t="s">
        <v>2122</v>
      </c>
      <c r="G1750" s="44">
        <v>0.1</v>
      </c>
      <c r="H1750" s="39" t="s">
        <v>101</v>
      </c>
      <c r="I1750" s="39" t="s">
        <v>102</v>
      </c>
      <c r="J1750" s="41">
        <v>4000</v>
      </c>
      <c r="K1750" s="42">
        <v>20.5</v>
      </c>
      <c r="L1750" s="43"/>
      <c r="M1750" s="43">
        <f>L1750*K1750</f>
        <v>0</v>
      </c>
      <c r="N1750" s="35">
        <v>4607015189735</v>
      </c>
    </row>
    <row r="1751" spans="1:14" ht="24" customHeight="1" outlineLevel="3" x14ac:dyDescent="0.2">
      <c r="A1751" s="36" t="s">
        <v>2123</v>
      </c>
      <c r="B1751" s="37" t="str">
        <f>HYPERLINK("http://sedek.ru/upload/iblock/86f/tomat_blagorodnyy_prints.jpg","фото")</f>
        <v>фото</v>
      </c>
      <c r="C1751" s="38"/>
      <c r="D1751" s="38"/>
      <c r="E1751" s="39"/>
      <c r="F1751" s="39" t="s">
        <v>2124</v>
      </c>
      <c r="G1751" s="44">
        <v>0.1</v>
      </c>
      <c r="H1751" s="39" t="s">
        <v>101</v>
      </c>
      <c r="I1751" s="39" t="s">
        <v>102</v>
      </c>
      <c r="J1751" s="41">
        <v>4000</v>
      </c>
      <c r="K1751" s="42">
        <v>20.5</v>
      </c>
      <c r="L1751" s="43"/>
      <c r="M1751" s="43">
        <f>L1751*K1751</f>
        <v>0</v>
      </c>
      <c r="N1751" s="35">
        <v>4607015189759</v>
      </c>
    </row>
    <row r="1752" spans="1:14" ht="24" customHeight="1" outlineLevel="3" x14ac:dyDescent="0.2">
      <c r="A1752" s="45">
        <v>15151</v>
      </c>
      <c r="B1752" s="37" t="str">
        <f>HYPERLINK("http://sedek.ru/upload/iblock/24d/tomat_bogatyri_smes.jpg","фото")</f>
        <v>фото</v>
      </c>
      <c r="C1752" s="38"/>
      <c r="D1752" s="38"/>
      <c r="E1752" s="39"/>
      <c r="F1752" s="39" t="s">
        <v>2125</v>
      </c>
      <c r="G1752" s="44">
        <v>0.2</v>
      </c>
      <c r="H1752" s="39" t="s">
        <v>101</v>
      </c>
      <c r="I1752" s="39" t="s">
        <v>102</v>
      </c>
      <c r="J1752" s="41">
        <v>3000</v>
      </c>
      <c r="K1752" s="42">
        <v>20.5</v>
      </c>
      <c r="L1752" s="43"/>
      <c r="M1752" s="43">
        <f>L1752*K1752</f>
        <v>0</v>
      </c>
      <c r="N1752" s="35">
        <v>4690368006002</v>
      </c>
    </row>
    <row r="1753" spans="1:14" ht="36" customHeight="1" outlineLevel="3" x14ac:dyDescent="0.2">
      <c r="A1753" s="45">
        <v>14855</v>
      </c>
      <c r="B1753" s="37" t="str">
        <f>HYPERLINK("http://sedek.ru/upload/iblock/18f/tomat_bogach_f1.jpg","фото")</f>
        <v>фото</v>
      </c>
      <c r="C1753" s="38"/>
      <c r="D1753" s="38" t="s">
        <v>266</v>
      </c>
      <c r="E1753" s="39"/>
      <c r="F1753" s="39" t="s">
        <v>2126</v>
      </c>
      <c r="G1753" s="54">
        <v>0.05</v>
      </c>
      <c r="H1753" s="39" t="s">
        <v>101</v>
      </c>
      <c r="I1753" s="39" t="s">
        <v>102</v>
      </c>
      <c r="J1753" s="41">
        <v>5000</v>
      </c>
      <c r="K1753" s="42">
        <v>35.4</v>
      </c>
      <c r="L1753" s="43"/>
      <c r="M1753" s="43">
        <f>L1753*K1753</f>
        <v>0</v>
      </c>
      <c r="N1753" s="35">
        <v>4690368008167</v>
      </c>
    </row>
    <row r="1754" spans="1:14" ht="24" customHeight="1" outlineLevel="3" x14ac:dyDescent="0.2">
      <c r="A1754" s="36" t="s">
        <v>2127</v>
      </c>
      <c r="B1754" s="37" t="str">
        <f>HYPERLINK("http://sedek.ru/upload/iblock/760/tomat_boyarynya_f1.jpg","фото")</f>
        <v>фото</v>
      </c>
      <c r="C1754" s="38"/>
      <c r="D1754" s="38" t="s">
        <v>266</v>
      </c>
      <c r="E1754" s="39"/>
      <c r="F1754" s="39" t="s">
        <v>2128</v>
      </c>
      <c r="G1754" s="54">
        <v>0.05</v>
      </c>
      <c r="H1754" s="39" t="s">
        <v>101</v>
      </c>
      <c r="I1754" s="39" t="s">
        <v>102</v>
      </c>
      <c r="J1754" s="41">
        <v>5000</v>
      </c>
      <c r="K1754" s="42">
        <v>21.9</v>
      </c>
      <c r="L1754" s="43"/>
      <c r="M1754" s="43">
        <f>L1754*K1754</f>
        <v>0</v>
      </c>
      <c r="N1754" s="35">
        <v>4607015185249</v>
      </c>
    </row>
    <row r="1755" spans="1:14" ht="48" customHeight="1" outlineLevel="3" x14ac:dyDescent="0.2">
      <c r="A1755" s="36" t="s">
        <v>2129</v>
      </c>
      <c r="B1755" s="37" t="str">
        <f>HYPERLINK("http://www.sedek.ru/upload/iblock/4df/jrm09ir5dpafj356h50v7mzqr91jqyq3/tomat_brat_2_f1.png","фото")</f>
        <v>фото</v>
      </c>
      <c r="C1755" s="38"/>
      <c r="D1755" s="38"/>
      <c r="E1755" s="39"/>
      <c r="F1755" s="39" t="s">
        <v>2130</v>
      </c>
      <c r="G1755" s="54">
        <v>0.05</v>
      </c>
      <c r="H1755" s="39" t="s">
        <v>101</v>
      </c>
      <c r="I1755" s="39" t="s">
        <v>102</v>
      </c>
      <c r="J1755" s="41">
        <v>3000</v>
      </c>
      <c r="K1755" s="42">
        <v>40.5</v>
      </c>
      <c r="L1755" s="43"/>
      <c r="M1755" s="43">
        <f>L1755*K1755</f>
        <v>0</v>
      </c>
      <c r="N1755" s="35">
        <v>4690368035620</v>
      </c>
    </row>
    <row r="1756" spans="1:14" ht="24" customHeight="1" outlineLevel="3" x14ac:dyDescent="0.2">
      <c r="A1756" s="36" t="s">
        <v>2131</v>
      </c>
      <c r="B1756" s="37" t="str">
        <f>HYPERLINK("http://sedek.ru/upload/iblock/d29/tomat_bumbarash_f1.jpg","фото")</f>
        <v>фото</v>
      </c>
      <c r="C1756" s="38"/>
      <c r="D1756" s="38" t="s">
        <v>266</v>
      </c>
      <c r="E1756" s="39"/>
      <c r="F1756" s="39" t="s">
        <v>2132</v>
      </c>
      <c r="G1756" s="54">
        <v>0.05</v>
      </c>
      <c r="H1756" s="39" t="s">
        <v>101</v>
      </c>
      <c r="I1756" s="39" t="s">
        <v>102</v>
      </c>
      <c r="J1756" s="41">
        <v>5000</v>
      </c>
      <c r="K1756" s="42">
        <v>28.9</v>
      </c>
      <c r="L1756" s="43"/>
      <c r="M1756" s="43">
        <f>L1756*K1756</f>
        <v>0</v>
      </c>
      <c r="N1756" s="35">
        <v>4607015185256</v>
      </c>
    </row>
    <row r="1757" spans="1:14" ht="24" customHeight="1" outlineLevel="3" x14ac:dyDescent="0.2">
      <c r="A1757" s="36" t="s">
        <v>2133</v>
      </c>
      <c r="B1757" s="37" t="str">
        <f>HYPERLINK("http://sedek.ru/upload/iblock/e12/tomat_burzhuin_f1.jpg","фото")</f>
        <v>фото</v>
      </c>
      <c r="C1757" s="38"/>
      <c r="D1757" s="38" t="s">
        <v>266</v>
      </c>
      <c r="E1757" s="39"/>
      <c r="F1757" s="39" t="s">
        <v>2134</v>
      </c>
      <c r="G1757" s="54">
        <v>0.05</v>
      </c>
      <c r="H1757" s="39" t="s">
        <v>101</v>
      </c>
      <c r="I1757" s="39" t="s">
        <v>102</v>
      </c>
      <c r="J1757" s="41">
        <v>5000</v>
      </c>
      <c r="K1757" s="42">
        <v>37.299999999999997</v>
      </c>
      <c r="L1757" s="43"/>
      <c r="M1757" s="43">
        <f>L1757*K1757</f>
        <v>0</v>
      </c>
      <c r="N1757" s="35">
        <v>4690368026116</v>
      </c>
    </row>
    <row r="1758" spans="1:14" ht="24" customHeight="1" outlineLevel="3" x14ac:dyDescent="0.2">
      <c r="A1758" s="45">
        <v>14716</v>
      </c>
      <c r="B1758" s="37" t="str">
        <f>HYPERLINK("http://www.sedek.ru/upload/iblock/6f7/tomat_burzhuy_f1.jpg","фото")</f>
        <v>фото</v>
      </c>
      <c r="C1758" s="38"/>
      <c r="D1758" s="38"/>
      <c r="E1758" s="39"/>
      <c r="F1758" s="39" t="s">
        <v>2135</v>
      </c>
      <c r="G1758" s="54">
        <v>0.05</v>
      </c>
      <c r="H1758" s="39" t="s">
        <v>101</v>
      </c>
      <c r="I1758" s="39" t="s">
        <v>102</v>
      </c>
      <c r="J1758" s="41">
        <v>5000</v>
      </c>
      <c r="K1758" s="42">
        <v>41.1</v>
      </c>
      <c r="L1758" s="43"/>
      <c r="M1758" s="43">
        <f>L1758*K1758</f>
        <v>0</v>
      </c>
      <c r="N1758" s="35">
        <v>4607149405169</v>
      </c>
    </row>
    <row r="1759" spans="1:14" ht="36" customHeight="1" outlineLevel="3" x14ac:dyDescent="0.2">
      <c r="A1759" s="36" t="s">
        <v>2136</v>
      </c>
      <c r="B1759" s="37" t="str">
        <f>HYPERLINK("http://www.sedek.ru/upload/iblock/40c/1ehgt1c4827c8t5ckeub74kr73652wd7/tomat_busy_strasti_f1.jpg","фото")</f>
        <v>фото</v>
      </c>
      <c r="C1759" s="38" t="s">
        <v>266</v>
      </c>
      <c r="D1759" s="38" t="s">
        <v>266</v>
      </c>
      <c r="E1759" s="39"/>
      <c r="F1759" s="39" t="s">
        <v>2137</v>
      </c>
      <c r="G1759" s="44">
        <v>0.1</v>
      </c>
      <c r="H1759" s="39"/>
      <c r="I1759" s="39" t="s">
        <v>102</v>
      </c>
      <c r="J1759" s="41">
        <v>3000</v>
      </c>
      <c r="K1759" s="42">
        <v>33.700000000000003</v>
      </c>
      <c r="L1759" s="43"/>
      <c r="M1759" s="43">
        <f>L1759*K1759</f>
        <v>0</v>
      </c>
      <c r="N1759" s="35">
        <v>4690368043151</v>
      </c>
    </row>
    <row r="1760" spans="1:14" ht="24" customHeight="1" outlineLevel="3" x14ac:dyDescent="0.2">
      <c r="A1760" s="36" t="s">
        <v>2138</v>
      </c>
      <c r="B1760" s="37" t="str">
        <f>HYPERLINK("http://www.sedek.ru/upload/iblock/5c1/tomat_butuz.jpg","фото")</f>
        <v>фото</v>
      </c>
      <c r="C1760" s="38"/>
      <c r="D1760" s="38"/>
      <c r="E1760" s="39"/>
      <c r="F1760" s="39" t="s">
        <v>2139</v>
      </c>
      <c r="G1760" s="44">
        <v>0.1</v>
      </c>
      <c r="H1760" s="39" t="s">
        <v>101</v>
      </c>
      <c r="I1760" s="39" t="s">
        <v>102</v>
      </c>
      <c r="J1760" s="41">
        <v>4000</v>
      </c>
      <c r="K1760" s="42">
        <v>20.5</v>
      </c>
      <c r="L1760" s="43"/>
      <c r="M1760" s="43">
        <f>L1760*K1760</f>
        <v>0</v>
      </c>
      <c r="N1760" s="35">
        <v>4607015189780</v>
      </c>
    </row>
    <row r="1761" spans="1:14" ht="24" customHeight="1" outlineLevel="3" x14ac:dyDescent="0.2">
      <c r="A1761" s="36" t="s">
        <v>2140</v>
      </c>
      <c r="B1761" s="37"/>
      <c r="C1761" s="38" t="s">
        <v>266</v>
      </c>
      <c r="D1761" s="38"/>
      <c r="E1761" s="39"/>
      <c r="F1761" s="39" t="s">
        <v>2141</v>
      </c>
      <c r="G1761" s="54">
        <v>0.03</v>
      </c>
      <c r="H1761" s="39" t="s">
        <v>101</v>
      </c>
      <c r="I1761" s="39" t="s">
        <v>102</v>
      </c>
      <c r="J1761" s="41">
        <v>3000</v>
      </c>
      <c r="K1761" s="42">
        <v>49.9</v>
      </c>
      <c r="L1761" s="43"/>
      <c r="M1761" s="43">
        <f>L1761*K1761</f>
        <v>0</v>
      </c>
      <c r="N1761" s="35">
        <v>4690368045919</v>
      </c>
    </row>
    <row r="1762" spans="1:14" ht="12" customHeight="1" outlineLevel="3" x14ac:dyDescent="0.2">
      <c r="A1762" s="36" t="s">
        <v>2142</v>
      </c>
      <c r="B1762" s="37"/>
      <c r="C1762" s="38" t="s">
        <v>266</v>
      </c>
      <c r="D1762" s="38"/>
      <c r="E1762" s="39"/>
      <c r="F1762" s="39" t="s">
        <v>2143</v>
      </c>
      <c r="G1762" s="54">
        <v>0.03</v>
      </c>
      <c r="H1762" s="39" t="s">
        <v>101</v>
      </c>
      <c r="I1762" s="39" t="s">
        <v>102</v>
      </c>
      <c r="J1762" s="41">
        <v>3000</v>
      </c>
      <c r="K1762" s="42">
        <v>49.9</v>
      </c>
      <c r="L1762" s="43"/>
      <c r="M1762" s="43">
        <f>L1762*K1762</f>
        <v>0</v>
      </c>
      <c r="N1762" s="35">
        <v>4690368045926</v>
      </c>
    </row>
    <row r="1763" spans="1:14" ht="24" customHeight="1" outlineLevel="3" x14ac:dyDescent="0.2">
      <c r="A1763" s="36" t="s">
        <v>2144</v>
      </c>
      <c r="B1763" s="37"/>
      <c r="C1763" s="38" t="s">
        <v>266</v>
      </c>
      <c r="D1763" s="38"/>
      <c r="E1763" s="39"/>
      <c r="F1763" s="39" t="s">
        <v>2145</v>
      </c>
      <c r="G1763" s="54">
        <v>0.03</v>
      </c>
      <c r="H1763" s="39" t="s">
        <v>101</v>
      </c>
      <c r="I1763" s="39" t="s">
        <v>102</v>
      </c>
      <c r="J1763" s="41">
        <v>3000</v>
      </c>
      <c r="K1763" s="42">
        <v>49.9</v>
      </c>
      <c r="L1763" s="43"/>
      <c r="M1763" s="43">
        <f>L1763*K1763</f>
        <v>0</v>
      </c>
      <c r="N1763" s="35">
        <v>4690368045957</v>
      </c>
    </row>
    <row r="1764" spans="1:14" ht="24" customHeight="1" outlineLevel="3" x14ac:dyDescent="0.2">
      <c r="A1764" s="36" t="s">
        <v>2146</v>
      </c>
      <c r="B1764" s="37"/>
      <c r="C1764" s="38" t="s">
        <v>266</v>
      </c>
      <c r="D1764" s="38"/>
      <c r="E1764" s="39"/>
      <c r="F1764" s="39" t="s">
        <v>2147</v>
      </c>
      <c r="G1764" s="54">
        <v>0.03</v>
      </c>
      <c r="H1764" s="39" t="s">
        <v>101</v>
      </c>
      <c r="I1764" s="39" t="s">
        <v>102</v>
      </c>
      <c r="J1764" s="41">
        <v>3000</v>
      </c>
      <c r="K1764" s="42">
        <v>49.9</v>
      </c>
      <c r="L1764" s="43"/>
      <c r="M1764" s="43">
        <f>L1764*K1764</f>
        <v>0</v>
      </c>
      <c r="N1764" s="35">
        <v>4690368045964</v>
      </c>
    </row>
    <row r="1765" spans="1:14" ht="24" customHeight="1" outlineLevel="3" x14ac:dyDescent="0.2">
      <c r="A1765" s="36" t="s">
        <v>2148</v>
      </c>
      <c r="B1765" s="37"/>
      <c r="C1765" s="38" t="s">
        <v>266</v>
      </c>
      <c r="D1765" s="38"/>
      <c r="E1765" s="39"/>
      <c r="F1765" s="39" t="s">
        <v>2149</v>
      </c>
      <c r="G1765" s="54">
        <v>0.03</v>
      </c>
      <c r="H1765" s="39" t="s">
        <v>101</v>
      </c>
      <c r="I1765" s="39" t="s">
        <v>102</v>
      </c>
      <c r="J1765" s="41">
        <v>3000</v>
      </c>
      <c r="K1765" s="42">
        <v>49.9</v>
      </c>
      <c r="L1765" s="43"/>
      <c r="M1765" s="43">
        <f>L1765*K1765</f>
        <v>0</v>
      </c>
      <c r="N1765" s="35">
        <v>4690368045971</v>
      </c>
    </row>
    <row r="1766" spans="1:14" ht="24" customHeight="1" outlineLevel="3" x14ac:dyDescent="0.2">
      <c r="A1766" s="36" t="s">
        <v>2150</v>
      </c>
      <c r="B1766" s="37"/>
      <c r="C1766" s="38" t="s">
        <v>266</v>
      </c>
      <c r="D1766" s="38"/>
      <c r="E1766" s="39"/>
      <c r="F1766" s="39" t="s">
        <v>2151</v>
      </c>
      <c r="G1766" s="54">
        <v>0.03</v>
      </c>
      <c r="H1766" s="39" t="s">
        <v>101</v>
      </c>
      <c r="I1766" s="39" t="s">
        <v>102</v>
      </c>
      <c r="J1766" s="41">
        <v>3000</v>
      </c>
      <c r="K1766" s="42">
        <v>49.9</v>
      </c>
      <c r="L1766" s="43"/>
      <c r="M1766" s="43">
        <f>L1766*K1766</f>
        <v>0</v>
      </c>
      <c r="N1766" s="35">
        <v>4690368045988</v>
      </c>
    </row>
    <row r="1767" spans="1:14" ht="36" customHeight="1" outlineLevel="3" x14ac:dyDescent="0.2">
      <c r="A1767" s="46">
        <v>14903</v>
      </c>
      <c r="B1767" s="47" t="str">
        <f>HYPERLINK("http://www.sedek.ru/upload/iblock/ccb/tomat_byche_serdtse.jpg","фото")</f>
        <v>фото</v>
      </c>
      <c r="C1767" s="48"/>
      <c r="D1767" s="48"/>
      <c r="E1767" s="49"/>
      <c r="F1767" s="49" t="s">
        <v>2152</v>
      </c>
      <c r="G1767" s="56">
        <v>0.1</v>
      </c>
      <c r="H1767" s="49" t="s">
        <v>101</v>
      </c>
      <c r="I1767" s="49" t="s">
        <v>102</v>
      </c>
      <c r="J1767" s="51">
        <v>4000</v>
      </c>
      <c r="K1767" s="52">
        <v>14.8</v>
      </c>
      <c r="L1767" s="53"/>
      <c r="M1767" s="53">
        <f>L1767*K1767</f>
        <v>0</v>
      </c>
      <c r="N1767" s="35">
        <v>4690368023986</v>
      </c>
    </row>
    <row r="1768" spans="1:14" ht="36" customHeight="1" outlineLevel="3" x14ac:dyDescent="0.2">
      <c r="A1768" s="36" t="s">
        <v>2153</v>
      </c>
      <c r="B1768" s="37" t="str">
        <f>HYPERLINK("http://www.sedek.ru/upload/iblock/d79/tomat_byche_serdtse_zolotoe.jpg","фото")</f>
        <v>фото</v>
      </c>
      <c r="C1768" s="38"/>
      <c r="D1768" s="38"/>
      <c r="E1768" s="39"/>
      <c r="F1768" s="39" t="s">
        <v>2154</v>
      </c>
      <c r="G1768" s="44">
        <v>0.1</v>
      </c>
      <c r="H1768" s="39" t="s">
        <v>101</v>
      </c>
      <c r="I1768" s="39" t="s">
        <v>102</v>
      </c>
      <c r="J1768" s="41">
        <v>4000</v>
      </c>
      <c r="K1768" s="42">
        <v>20.5</v>
      </c>
      <c r="L1768" s="43"/>
      <c r="M1768" s="43">
        <f>L1768*K1768</f>
        <v>0</v>
      </c>
      <c r="N1768" s="35">
        <v>4690368026352</v>
      </c>
    </row>
    <row r="1769" spans="1:14" ht="36" customHeight="1" outlineLevel="3" x14ac:dyDescent="0.2">
      <c r="A1769" s="45">
        <v>15892</v>
      </c>
      <c r="B1769" s="37" t="str">
        <f>HYPERLINK("http://www.sedek.ru/upload/iblock/1a1/tomat_byche_serdtse_krasnoe.jpg","фото")</f>
        <v>фото</v>
      </c>
      <c r="C1769" s="38"/>
      <c r="D1769" s="38"/>
      <c r="E1769" s="39"/>
      <c r="F1769" s="39" t="s">
        <v>2155</v>
      </c>
      <c r="G1769" s="44">
        <v>0.1</v>
      </c>
      <c r="H1769" s="39" t="s">
        <v>101</v>
      </c>
      <c r="I1769" s="39" t="s">
        <v>102</v>
      </c>
      <c r="J1769" s="41">
        <v>4000</v>
      </c>
      <c r="K1769" s="42">
        <v>16.399999999999999</v>
      </c>
      <c r="L1769" s="43"/>
      <c r="M1769" s="43">
        <f>L1769*K1769</f>
        <v>0</v>
      </c>
      <c r="N1769" s="35">
        <v>4607015189797</v>
      </c>
    </row>
    <row r="1770" spans="1:14" ht="36" customHeight="1" outlineLevel="3" x14ac:dyDescent="0.2">
      <c r="A1770" s="45">
        <v>15892</v>
      </c>
      <c r="B1770" s="37" t="str">
        <f>HYPERLINK("http://www.sedek.ru/upload/iblock/1a1/tomat_byche_serdtse_krasnoe.jpg","фото")</f>
        <v>фото</v>
      </c>
      <c r="C1770" s="38"/>
      <c r="D1770" s="38"/>
      <c r="E1770" s="39"/>
      <c r="F1770" s="39" t="s">
        <v>2156</v>
      </c>
      <c r="G1770" s="44">
        <v>0.1</v>
      </c>
      <c r="H1770" s="39" t="s">
        <v>101</v>
      </c>
      <c r="I1770" s="39" t="s">
        <v>287</v>
      </c>
      <c r="J1770" s="41">
        <v>4000</v>
      </c>
      <c r="K1770" s="42">
        <v>7.8</v>
      </c>
      <c r="L1770" s="43"/>
      <c r="M1770" s="43">
        <f>L1770*K1770</f>
        <v>0</v>
      </c>
      <c r="N1770" s="35">
        <v>4690368006552</v>
      </c>
    </row>
    <row r="1771" spans="1:14" ht="36" customHeight="1" outlineLevel="3" x14ac:dyDescent="0.2">
      <c r="A1771" s="36" t="s">
        <v>2157</v>
      </c>
      <c r="B1771" s="37" t="str">
        <f>HYPERLINK("http://www.sedek.ru/upload/iblock/502/tomat_byche_serdtse_malinovoe.jpg","фото")</f>
        <v>фото</v>
      </c>
      <c r="C1771" s="38"/>
      <c r="D1771" s="38"/>
      <c r="E1771" s="39"/>
      <c r="F1771" s="39" t="s">
        <v>2158</v>
      </c>
      <c r="G1771" s="44">
        <v>0.1</v>
      </c>
      <c r="H1771" s="39" t="s">
        <v>101</v>
      </c>
      <c r="I1771" s="39" t="s">
        <v>102</v>
      </c>
      <c r="J1771" s="41">
        <v>4000</v>
      </c>
      <c r="K1771" s="42">
        <v>20.5</v>
      </c>
      <c r="L1771" s="43"/>
      <c r="M1771" s="43">
        <f>L1771*K1771</f>
        <v>0</v>
      </c>
      <c r="N1771" s="35">
        <v>4690368030557</v>
      </c>
    </row>
    <row r="1772" spans="1:14" ht="36" customHeight="1" outlineLevel="3" x14ac:dyDescent="0.2">
      <c r="A1772" s="45">
        <v>14656</v>
      </c>
      <c r="B1772" s="37" t="str">
        <f>HYPERLINK("http://www.sedek.ru/upload/iblock/ef2/tomat_byche_serdtse_rozovoe.jpg","фото")</f>
        <v>фото</v>
      </c>
      <c r="C1772" s="38"/>
      <c r="D1772" s="38"/>
      <c r="E1772" s="39"/>
      <c r="F1772" s="39" t="s">
        <v>2159</v>
      </c>
      <c r="G1772" s="44">
        <v>0.1</v>
      </c>
      <c r="H1772" s="39" t="s">
        <v>101</v>
      </c>
      <c r="I1772" s="39" t="s">
        <v>102</v>
      </c>
      <c r="J1772" s="41">
        <v>4000</v>
      </c>
      <c r="K1772" s="42">
        <v>20.5</v>
      </c>
      <c r="L1772" s="43"/>
      <c r="M1772" s="43">
        <f>L1772*K1772</f>
        <v>0</v>
      </c>
      <c r="N1772" s="35">
        <v>4607015189803</v>
      </c>
    </row>
    <row r="1773" spans="1:14" ht="36" customHeight="1" outlineLevel="3" x14ac:dyDescent="0.2">
      <c r="A1773" s="45">
        <v>14656</v>
      </c>
      <c r="B1773" s="37" t="str">
        <f>HYPERLINK("http://www.sedek.ru/upload/iblock/ef2/tomat_byche_serdtse_rozovoe.jpg","фото")</f>
        <v>фото</v>
      </c>
      <c r="C1773" s="38"/>
      <c r="D1773" s="38"/>
      <c r="E1773" s="39"/>
      <c r="F1773" s="39" t="s">
        <v>2160</v>
      </c>
      <c r="G1773" s="44">
        <v>0.1</v>
      </c>
      <c r="H1773" s="39" t="s">
        <v>101</v>
      </c>
      <c r="I1773" s="39" t="s">
        <v>287</v>
      </c>
      <c r="J1773" s="41">
        <v>4000</v>
      </c>
      <c r="K1773" s="42">
        <v>7.1</v>
      </c>
      <c r="L1773" s="43"/>
      <c r="M1773" s="43">
        <f>L1773*K1773</f>
        <v>0</v>
      </c>
      <c r="N1773" s="35">
        <v>4607149409761</v>
      </c>
    </row>
    <row r="1774" spans="1:14" ht="24" customHeight="1" outlineLevel="3" x14ac:dyDescent="0.2">
      <c r="A1774" s="45">
        <v>16540</v>
      </c>
      <c r="B1774" s="37" t="str">
        <f>HYPERLINK("http://sedek.ru/upload/iblock/d03/tomat_valentina.jpg","фото")</f>
        <v>фото</v>
      </c>
      <c r="C1774" s="38"/>
      <c r="D1774" s="38"/>
      <c r="E1774" s="39"/>
      <c r="F1774" s="39" t="s">
        <v>2161</v>
      </c>
      <c r="G1774" s="44">
        <v>0.1</v>
      </c>
      <c r="H1774" s="39" t="s">
        <v>101</v>
      </c>
      <c r="I1774" s="39" t="s">
        <v>102</v>
      </c>
      <c r="J1774" s="41">
        <v>4000</v>
      </c>
      <c r="K1774" s="42">
        <v>22.7</v>
      </c>
      <c r="L1774" s="43"/>
      <c r="M1774" s="43">
        <f>L1774*K1774</f>
        <v>0</v>
      </c>
      <c r="N1774" s="35">
        <v>4607015189810</v>
      </c>
    </row>
    <row r="1775" spans="1:14" ht="24" customHeight="1" outlineLevel="3" x14ac:dyDescent="0.2">
      <c r="A1775" s="45">
        <v>17004</v>
      </c>
      <c r="B1775" s="37" t="str">
        <f>HYPERLINK("http://sedek.ru/upload/iblock/43c/tomat_valya_f1.jpg","фото")</f>
        <v>фото</v>
      </c>
      <c r="C1775" s="38"/>
      <c r="D1775" s="38"/>
      <c r="E1775" s="39"/>
      <c r="F1775" s="39" t="s">
        <v>2162</v>
      </c>
      <c r="G1775" s="54">
        <v>0.05</v>
      </c>
      <c r="H1775" s="39" t="s">
        <v>101</v>
      </c>
      <c r="I1775" s="39" t="s">
        <v>102</v>
      </c>
      <c r="J1775" s="41">
        <v>5000</v>
      </c>
      <c r="K1775" s="42">
        <v>37.200000000000003</v>
      </c>
      <c r="L1775" s="43"/>
      <c r="M1775" s="43">
        <f>L1775*K1775</f>
        <v>0</v>
      </c>
      <c r="N1775" s="35">
        <v>4690368023993</v>
      </c>
    </row>
    <row r="1776" spans="1:14" ht="48" customHeight="1" outlineLevel="3" x14ac:dyDescent="0.2">
      <c r="A1776" s="36" t="s">
        <v>2163</v>
      </c>
      <c r="B1776" s="37" t="str">
        <f>HYPERLINK("http://www.sedek.ru/upload/iblock/b59/v5quteuzm02qwgzpr3zxrdo63p31b9c6/tomat_vano_f1.png","фото")</f>
        <v>фото</v>
      </c>
      <c r="C1776" s="38"/>
      <c r="D1776" s="38"/>
      <c r="E1776" s="39"/>
      <c r="F1776" s="39" t="s">
        <v>2164</v>
      </c>
      <c r="G1776" s="54">
        <v>0.05</v>
      </c>
      <c r="H1776" s="39" t="s">
        <v>101</v>
      </c>
      <c r="I1776" s="39" t="s">
        <v>102</v>
      </c>
      <c r="J1776" s="41">
        <v>3000</v>
      </c>
      <c r="K1776" s="42">
        <v>44.5</v>
      </c>
      <c r="L1776" s="43"/>
      <c r="M1776" s="43">
        <f>L1776*K1776</f>
        <v>0</v>
      </c>
      <c r="N1776" s="35">
        <v>4690368035613</v>
      </c>
    </row>
    <row r="1777" spans="1:14" ht="24" customHeight="1" outlineLevel="3" x14ac:dyDescent="0.2">
      <c r="A1777" s="45">
        <v>15606</v>
      </c>
      <c r="B1777" s="37" t="str">
        <f>HYPERLINK("http://sedek.ru/upload/iblock/67f/tomat_vesna_severa_f1.JPG","фото")</f>
        <v>фото</v>
      </c>
      <c r="C1777" s="38"/>
      <c r="D1777" s="38" t="s">
        <v>266</v>
      </c>
      <c r="E1777" s="39" t="s">
        <v>2090</v>
      </c>
      <c r="F1777" s="39" t="s">
        <v>2165</v>
      </c>
      <c r="G1777" s="54">
        <v>0.05</v>
      </c>
      <c r="H1777" s="39" t="s">
        <v>101</v>
      </c>
      <c r="I1777" s="39" t="s">
        <v>102</v>
      </c>
      <c r="J1777" s="41">
        <v>5000</v>
      </c>
      <c r="K1777" s="42">
        <v>35.1</v>
      </c>
      <c r="L1777" s="43"/>
      <c r="M1777" s="43">
        <f>L1777*K1777</f>
        <v>0</v>
      </c>
      <c r="N1777" s="35">
        <v>4690368010924</v>
      </c>
    </row>
    <row r="1778" spans="1:14" ht="24" customHeight="1" outlineLevel="3" x14ac:dyDescent="0.2">
      <c r="A1778" s="46">
        <v>15788</v>
      </c>
      <c r="B1778" s="47" t="str">
        <f>HYPERLINK("http://sedek.ru/upload/iblock/451/tomat_vzryv.jpg","фото")</f>
        <v>фото</v>
      </c>
      <c r="C1778" s="48"/>
      <c r="D1778" s="48"/>
      <c r="E1778" s="49" t="s">
        <v>2090</v>
      </c>
      <c r="F1778" s="49" t="s">
        <v>2166</v>
      </c>
      <c r="G1778" s="56">
        <v>0.1</v>
      </c>
      <c r="H1778" s="49" t="s">
        <v>101</v>
      </c>
      <c r="I1778" s="49" t="s">
        <v>102</v>
      </c>
      <c r="J1778" s="51">
        <v>4000</v>
      </c>
      <c r="K1778" s="52">
        <v>19</v>
      </c>
      <c r="L1778" s="53"/>
      <c r="M1778" s="53">
        <f>L1778*K1778</f>
        <v>0</v>
      </c>
      <c r="N1778" s="35">
        <v>4607015189858</v>
      </c>
    </row>
    <row r="1779" spans="1:14" ht="36" customHeight="1" outlineLevel="3" x14ac:dyDescent="0.2">
      <c r="A1779" s="36" t="s">
        <v>2167</v>
      </c>
      <c r="B1779" s="37" t="str">
        <f>HYPERLINK("http://sedek.ru/upload/iblock/5c2/tomat_vladimir_velikiy_f1.jpg","фото")</f>
        <v>фото</v>
      </c>
      <c r="C1779" s="38"/>
      <c r="D1779" s="38"/>
      <c r="E1779" s="39"/>
      <c r="F1779" s="39" t="s">
        <v>2168</v>
      </c>
      <c r="G1779" s="54">
        <v>0.03</v>
      </c>
      <c r="H1779" s="39" t="s">
        <v>101</v>
      </c>
      <c r="I1779" s="39" t="s">
        <v>102</v>
      </c>
      <c r="J1779" s="41">
        <v>5000</v>
      </c>
      <c r="K1779" s="42">
        <v>49.3</v>
      </c>
      <c r="L1779" s="43"/>
      <c r="M1779" s="43">
        <f>L1779*K1779</f>
        <v>0</v>
      </c>
      <c r="N1779" s="35">
        <v>4690368027472</v>
      </c>
    </row>
    <row r="1780" spans="1:14" ht="24" customHeight="1" outlineLevel="3" x14ac:dyDescent="0.2">
      <c r="A1780" s="36" t="s">
        <v>2169</v>
      </c>
      <c r="B1780" s="37" t="str">
        <f>HYPERLINK("http://sedek.ru/upload/iblock/173/tomat_vlastelin_stepey_f1.jpg","фото")</f>
        <v>фото</v>
      </c>
      <c r="C1780" s="38"/>
      <c r="D1780" s="38"/>
      <c r="E1780" s="39"/>
      <c r="F1780" s="39" t="s">
        <v>2170</v>
      </c>
      <c r="G1780" s="54">
        <v>0.05</v>
      </c>
      <c r="H1780" s="39" t="s">
        <v>101</v>
      </c>
      <c r="I1780" s="39" t="s">
        <v>102</v>
      </c>
      <c r="J1780" s="41">
        <v>5000</v>
      </c>
      <c r="K1780" s="42">
        <v>22.9</v>
      </c>
      <c r="L1780" s="43"/>
      <c r="M1780" s="43">
        <f>L1780*K1780</f>
        <v>0</v>
      </c>
      <c r="N1780" s="35">
        <v>4607015185263</v>
      </c>
    </row>
    <row r="1781" spans="1:14" ht="24" customHeight="1" outlineLevel="3" x14ac:dyDescent="0.2">
      <c r="A1781" s="45">
        <v>16053</v>
      </c>
      <c r="B1781" s="37" t="str">
        <f>HYPERLINK("http://sedek.ru/upload/iblock/d64/tomat_vnuchkina_lyubov_f1.jpg","фото")</f>
        <v>фото</v>
      </c>
      <c r="C1781" s="38"/>
      <c r="D1781" s="38"/>
      <c r="E1781" s="39"/>
      <c r="F1781" s="39" t="s">
        <v>2171</v>
      </c>
      <c r="G1781" s="54">
        <v>0.05</v>
      </c>
      <c r="H1781" s="39" t="s">
        <v>101</v>
      </c>
      <c r="I1781" s="39" t="s">
        <v>102</v>
      </c>
      <c r="J1781" s="41">
        <v>5000</v>
      </c>
      <c r="K1781" s="42">
        <v>37.200000000000003</v>
      </c>
      <c r="L1781" s="43"/>
      <c r="M1781" s="43">
        <f>L1781*K1781</f>
        <v>0</v>
      </c>
      <c r="N1781" s="35">
        <v>4607149404933</v>
      </c>
    </row>
    <row r="1782" spans="1:14" ht="36" customHeight="1" outlineLevel="3" x14ac:dyDescent="0.2">
      <c r="A1782" s="45">
        <v>15633</v>
      </c>
      <c r="B1782" s="37" t="str">
        <f>HYPERLINK("http://sedek.ru/upload/iblock/3ce/tomat_volgogradskiy_5_95.jpg","фото")</f>
        <v>фото</v>
      </c>
      <c r="C1782" s="38"/>
      <c r="D1782" s="38"/>
      <c r="E1782" s="39"/>
      <c r="F1782" s="39" t="s">
        <v>2172</v>
      </c>
      <c r="G1782" s="44">
        <v>0.1</v>
      </c>
      <c r="H1782" s="39" t="s">
        <v>101</v>
      </c>
      <c r="I1782" s="39" t="s">
        <v>102</v>
      </c>
      <c r="J1782" s="41">
        <v>4000</v>
      </c>
      <c r="K1782" s="42">
        <v>15.6</v>
      </c>
      <c r="L1782" s="43"/>
      <c r="M1782" s="43">
        <f>L1782*K1782</f>
        <v>0</v>
      </c>
      <c r="N1782" s="35">
        <v>4690368015882</v>
      </c>
    </row>
    <row r="1783" spans="1:14" ht="36" customHeight="1" outlineLevel="3" x14ac:dyDescent="0.2">
      <c r="A1783" s="45">
        <v>14507</v>
      </c>
      <c r="B1783" s="37" t="str">
        <f>HYPERLINK("http://sedek.ru/upload/iblock/685/tomat_volshebnyy_kaskad_f1.jpg","фото")</f>
        <v>фото</v>
      </c>
      <c r="C1783" s="38"/>
      <c r="D1783" s="38"/>
      <c r="E1783" s="39" t="s">
        <v>2173</v>
      </c>
      <c r="F1783" s="39" t="s">
        <v>2174</v>
      </c>
      <c r="G1783" s="54">
        <v>0.05</v>
      </c>
      <c r="H1783" s="39" t="s">
        <v>101</v>
      </c>
      <c r="I1783" s="39" t="s">
        <v>102</v>
      </c>
      <c r="J1783" s="41">
        <v>5000</v>
      </c>
      <c r="K1783" s="42">
        <v>42.9</v>
      </c>
      <c r="L1783" s="43"/>
      <c r="M1783" s="43">
        <f>L1783*K1783</f>
        <v>0</v>
      </c>
      <c r="N1783" s="35">
        <v>4690368009751</v>
      </c>
    </row>
    <row r="1784" spans="1:14" ht="36" customHeight="1" outlineLevel="3" x14ac:dyDescent="0.2">
      <c r="A1784" s="45">
        <v>13886</v>
      </c>
      <c r="B1784" s="37" t="str">
        <f>HYPERLINK("http://sedek.ru/upload/iblock/cee/tomat_vspyshka.jpg","фото")</f>
        <v>фото</v>
      </c>
      <c r="C1784" s="38"/>
      <c r="D1784" s="38"/>
      <c r="E1784" s="39" t="s">
        <v>2090</v>
      </c>
      <c r="F1784" s="39" t="s">
        <v>2175</v>
      </c>
      <c r="G1784" s="44">
        <v>0.1</v>
      </c>
      <c r="H1784" s="39" t="s">
        <v>101</v>
      </c>
      <c r="I1784" s="39" t="s">
        <v>102</v>
      </c>
      <c r="J1784" s="41">
        <v>4000</v>
      </c>
      <c r="K1784" s="42">
        <v>20</v>
      </c>
      <c r="L1784" s="43"/>
      <c r="M1784" s="43">
        <f>L1784*K1784</f>
        <v>0</v>
      </c>
      <c r="N1784" s="35">
        <v>4607015183504</v>
      </c>
    </row>
    <row r="1785" spans="1:14" ht="36" customHeight="1" outlineLevel="3" x14ac:dyDescent="0.2">
      <c r="A1785" s="45">
        <v>13886</v>
      </c>
      <c r="B1785" s="37" t="str">
        <f>HYPERLINK("http://sedek.ru/upload/iblock/cee/tomat_vspyshka.jpg","фото")</f>
        <v>фото</v>
      </c>
      <c r="C1785" s="38"/>
      <c r="D1785" s="38"/>
      <c r="E1785" s="39" t="s">
        <v>2090</v>
      </c>
      <c r="F1785" s="39" t="s">
        <v>2176</v>
      </c>
      <c r="G1785" s="44">
        <v>0.1</v>
      </c>
      <c r="H1785" s="39" t="s">
        <v>101</v>
      </c>
      <c r="I1785" s="39" t="s">
        <v>287</v>
      </c>
      <c r="J1785" s="41">
        <v>4000</v>
      </c>
      <c r="K1785" s="42">
        <v>7.1</v>
      </c>
      <c r="L1785" s="43"/>
      <c r="M1785" s="43">
        <f>L1785*K1785</f>
        <v>0</v>
      </c>
      <c r="N1785" s="35">
        <v>4690368005418</v>
      </c>
    </row>
    <row r="1786" spans="1:14" ht="36" customHeight="1" outlineLevel="3" x14ac:dyDescent="0.2">
      <c r="A1786" s="45">
        <v>15512</v>
      </c>
      <c r="B1786" s="37" t="str">
        <f>HYPERLINK("http://sedek.ru/upload/iblock/bdd/tomat_gelena_f1.jpg","фото")</f>
        <v>фото</v>
      </c>
      <c r="C1786" s="38"/>
      <c r="D1786" s="38"/>
      <c r="E1786" s="39"/>
      <c r="F1786" s="39" t="s">
        <v>2177</v>
      </c>
      <c r="G1786" s="54">
        <v>0.05</v>
      </c>
      <c r="H1786" s="39" t="s">
        <v>101</v>
      </c>
      <c r="I1786" s="39" t="s">
        <v>102</v>
      </c>
      <c r="J1786" s="41">
        <v>5000</v>
      </c>
      <c r="K1786" s="42">
        <v>44.5</v>
      </c>
      <c r="L1786" s="43"/>
      <c r="M1786" s="43">
        <f>L1786*K1786</f>
        <v>0</v>
      </c>
      <c r="N1786" s="35">
        <v>4607015189902</v>
      </c>
    </row>
    <row r="1787" spans="1:14" ht="24" customHeight="1" outlineLevel="3" x14ac:dyDescent="0.2">
      <c r="A1787" s="45">
        <v>14786</v>
      </c>
      <c r="B1787" s="37" t="str">
        <f>HYPERLINK("http://www.sedek.ru/upload/iblock/c43/tomat_geya.jpg","фото")</f>
        <v>фото</v>
      </c>
      <c r="C1787" s="38"/>
      <c r="D1787" s="38"/>
      <c r="E1787" s="39" t="s">
        <v>2090</v>
      </c>
      <c r="F1787" s="39" t="s">
        <v>2178</v>
      </c>
      <c r="G1787" s="44">
        <v>0.2</v>
      </c>
      <c r="H1787" s="39" t="s">
        <v>101</v>
      </c>
      <c r="I1787" s="39" t="s">
        <v>102</v>
      </c>
      <c r="J1787" s="41">
        <v>3000</v>
      </c>
      <c r="K1787" s="42">
        <v>20.5</v>
      </c>
      <c r="L1787" s="43"/>
      <c r="M1787" s="43">
        <f>L1787*K1787</f>
        <v>0</v>
      </c>
      <c r="N1787" s="35">
        <v>4607015189919</v>
      </c>
    </row>
    <row r="1788" spans="1:14" ht="36" customHeight="1" outlineLevel="3" x14ac:dyDescent="0.2">
      <c r="A1788" s="36" t="s">
        <v>2179</v>
      </c>
      <c r="B1788" s="37" t="str">
        <f>HYPERLINK("http://sedek.ru/upload/iblock/6ae/tomat_gigant_limonnyy.jpg","фото")</f>
        <v>фото</v>
      </c>
      <c r="C1788" s="38"/>
      <c r="D1788" s="38"/>
      <c r="E1788" s="39"/>
      <c r="F1788" s="39" t="s">
        <v>2180</v>
      </c>
      <c r="G1788" s="44">
        <v>0.1</v>
      </c>
      <c r="H1788" s="39" t="s">
        <v>101</v>
      </c>
      <c r="I1788" s="39" t="s">
        <v>102</v>
      </c>
      <c r="J1788" s="41">
        <v>4000</v>
      </c>
      <c r="K1788" s="42">
        <v>20.5</v>
      </c>
      <c r="L1788" s="43"/>
      <c r="M1788" s="43">
        <f>L1788*K1788</f>
        <v>0</v>
      </c>
      <c r="N1788" s="35">
        <v>4690368028592</v>
      </c>
    </row>
    <row r="1789" spans="1:14" ht="24" customHeight="1" outlineLevel="3" x14ac:dyDescent="0.2">
      <c r="A1789" s="36" t="s">
        <v>2181</v>
      </c>
      <c r="B1789" s="37" t="str">
        <f>HYPERLINK("http://www.sedek.ru/upload/iblock/b15/tomat_grot.jpg","фото")</f>
        <v>фото</v>
      </c>
      <c r="C1789" s="38"/>
      <c r="D1789" s="38"/>
      <c r="E1789" s="39"/>
      <c r="F1789" s="39" t="s">
        <v>2182</v>
      </c>
      <c r="G1789" s="44">
        <v>0.1</v>
      </c>
      <c r="H1789" s="39" t="s">
        <v>101</v>
      </c>
      <c r="I1789" s="39" t="s">
        <v>102</v>
      </c>
      <c r="J1789" s="41">
        <v>4000</v>
      </c>
      <c r="K1789" s="42">
        <v>19.5</v>
      </c>
      <c r="L1789" s="43"/>
      <c r="M1789" s="43">
        <f>L1789*K1789</f>
        <v>0</v>
      </c>
      <c r="N1789" s="35">
        <v>4607015189933</v>
      </c>
    </row>
    <row r="1790" spans="1:14" ht="36" customHeight="1" outlineLevel="3" x14ac:dyDescent="0.2">
      <c r="A1790" s="45">
        <v>17014</v>
      </c>
      <c r="B1790" s="37" t="str">
        <f>HYPERLINK("http://www.sedek.ru/upload/iblock/fe1/tomat_gruntovyy_gribovskiy_1180.jpg","фото")</f>
        <v>фото</v>
      </c>
      <c r="C1790" s="38"/>
      <c r="D1790" s="38"/>
      <c r="E1790" s="39" t="s">
        <v>2090</v>
      </c>
      <c r="F1790" s="39" t="s">
        <v>2183</v>
      </c>
      <c r="G1790" s="44">
        <v>0.1</v>
      </c>
      <c r="H1790" s="39" t="s">
        <v>101</v>
      </c>
      <c r="I1790" s="39" t="s">
        <v>102</v>
      </c>
      <c r="J1790" s="41">
        <v>4000</v>
      </c>
      <c r="K1790" s="42">
        <v>16.399999999999999</v>
      </c>
      <c r="L1790" s="43"/>
      <c r="M1790" s="43">
        <f>L1790*K1790</f>
        <v>0</v>
      </c>
      <c r="N1790" s="35">
        <v>4690368026666</v>
      </c>
    </row>
    <row r="1791" spans="1:14" ht="24" customHeight="1" outlineLevel="3" x14ac:dyDescent="0.2">
      <c r="A1791" s="36" t="s">
        <v>2184</v>
      </c>
      <c r="B1791" s="37" t="str">
        <f>HYPERLINK("http://www.sedek.ru/upload/iblock/e63/tomat_gruntovyy_zharoustoychivyy.jpg","Фото")</f>
        <v>Фото</v>
      </c>
      <c r="C1791" s="38"/>
      <c r="D1791" s="38"/>
      <c r="E1791" s="39"/>
      <c r="F1791" s="39" t="s">
        <v>2185</v>
      </c>
      <c r="G1791" s="44">
        <v>0.1</v>
      </c>
      <c r="H1791" s="39" t="s">
        <v>101</v>
      </c>
      <c r="I1791" s="39" t="s">
        <v>102</v>
      </c>
      <c r="J1791" s="41">
        <v>4000</v>
      </c>
      <c r="K1791" s="42">
        <v>20</v>
      </c>
      <c r="L1791" s="43"/>
      <c r="M1791" s="43">
        <f>L1791*K1791</f>
        <v>0</v>
      </c>
      <c r="N1791" s="35">
        <v>4690368030564</v>
      </c>
    </row>
    <row r="1792" spans="1:14" ht="36" customHeight="1" outlineLevel="3" x14ac:dyDescent="0.2">
      <c r="A1792" s="36" t="s">
        <v>2186</v>
      </c>
      <c r="B1792" s="37" t="str">
        <f>HYPERLINK("http://www.sedek.ru/upload/iblock/255/tomat_grusha_gigantskaya.jpg","Фото")</f>
        <v>Фото</v>
      </c>
      <c r="C1792" s="38"/>
      <c r="D1792" s="38" t="s">
        <v>266</v>
      </c>
      <c r="E1792" s="39"/>
      <c r="F1792" s="39" t="s">
        <v>2187</v>
      </c>
      <c r="G1792" s="44">
        <v>0.1</v>
      </c>
      <c r="H1792" s="39" t="s">
        <v>101</v>
      </c>
      <c r="I1792" s="39" t="s">
        <v>102</v>
      </c>
      <c r="J1792" s="41">
        <v>4000</v>
      </c>
      <c r="K1792" s="42">
        <v>20</v>
      </c>
      <c r="L1792" s="43"/>
      <c r="M1792" s="43">
        <f>L1792*K1792</f>
        <v>0</v>
      </c>
      <c r="N1792" s="35">
        <v>4690368030571</v>
      </c>
    </row>
    <row r="1793" spans="1:14" ht="24" customHeight="1" outlineLevel="3" x14ac:dyDescent="0.2">
      <c r="A1793" s="36" t="s">
        <v>2188</v>
      </c>
      <c r="B1793" s="37" t="str">
        <f>HYPERLINK("http://www.sedek.ru/upload/iblock/535/tomat_grusha_krasnaya.jpg","Фото")</f>
        <v>Фото</v>
      </c>
      <c r="C1793" s="38"/>
      <c r="D1793" s="38" t="s">
        <v>266</v>
      </c>
      <c r="E1793" s="39"/>
      <c r="F1793" s="39" t="s">
        <v>2189</v>
      </c>
      <c r="G1793" s="44">
        <v>0.1</v>
      </c>
      <c r="H1793" s="39" t="s">
        <v>101</v>
      </c>
      <c r="I1793" s="39" t="s">
        <v>102</v>
      </c>
      <c r="J1793" s="41">
        <v>4000</v>
      </c>
      <c r="K1793" s="42">
        <v>20</v>
      </c>
      <c r="L1793" s="43"/>
      <c r="M1793" s="43">
        <f>L1793*K1793</f>
        <v>0</v>
      </c>
      <c r="N1793" s="35">
        <v>4690368030588</v>
      </c>
    </row>
    <row r="1794" spans="1:14" ht="36" customHeight="1" outlineLevel="3" x14ac:dyDescent="0.2">
      <c r="A1794" s="46">
        <v>15809</v>
      </c>
      <c r="B1794" s="47" t="str">
        <f>HYPERLINK("http://sedek.ru/upload/iblock/6fb/tomat_grushka_konservnaya.png","фото")</f>
        <v>фото</v>
      </c>
      <c r="C1794" s="48"/>
      <c r="D1794" s="48"/>
      <c r="E1794" s="49"/>
      <c r="F1794" s="49" t="s">
        <v>2190</v>
      </c>
      <c r="G1794" s="56">
        <v>0.1</v>
      </c>
      <c r="H1794" s="49" t="s">
        <v>101</v>
      </c>
      <c r="I1794" s="49" t="s">
        <v>102</v>
      </c>
      <c r="J1794" s="51">
        <v>4000</v>
      </c>
      <c r="K1794" s="52">
        <v>18.2</v>
      </c>
      <c r="L1794" s="53"/>
      <c r="M1794" s="53">
        <f>L1794*K1794</f>
        <v>0</v>
      </c>
      <c r="N1794" s="35">
        <v>4690368009768</v>
      </c>
    </row>
    <row r="1795" spans="1:14" ht="36" customHeight="1" outlineLevel="3" x14ac:dyDescent="0.2">
      <c r="A1795" s="36" t="s">
        <v>2191</v>
      </c>
      <c r="B1795" s="37" t="str">
        <f>HYPERLINK("http://sedek.ru/upload/iblock/5ca/tomat_grushka_konservnaya_zolotaya.jpg","фото")</f>
        <v>фото</v>
      </c>
      <c r="C1795" s="38"/>
      <c r="D1795" s="38" t="s">
        <v>266</v>
      </c>
      <c r="E1795" s="39"/>
      <c r="F1795" s="39" t="s">
        <v>2192</v>
      </c>
      <c r="G1795" s="44">
        <v>0.1</v>
      </c>
      <c r="H1795" s="39" t="s">
        <v>101</v>
      </c>
      <c r="I1795" s="39" t="s">
        <v>102</v>
      </c>
      <c r="J1795" s="41">
        <v>4000</v>
      </c>
      <c r="K1795" s="42">
        <v>20</v>
      </c>
      <c r="L1795" s="43"/>
      <c r="M1795" s="43">
        <f>L1795*K1795</f>
        <v>0</v>
      </c>
      <c r="N1795" s="35">
        <v>4690368033862</v>
      </c>
    </row>
    <row r="1796" spans="1:14" ht="36" customHeight="1" outlineLevel="3" x14ac:dyDescent="0.2">
      <c r="A1796" s="36" t="s">
        <v>2193</v>
      </c>
      <c r="B1796" s="37" t="str">
        <f>HYPERLINK("http://www.sedek.ru/upload/iblock/f6b/tomat_grushka_medovaya.jpg","фото")</f>
        <v>фото</v>
      </c>
      <c r="C1796" s="38"/>
      <c r="D1796" s="38"/>
      <c r="E1796" s="39"/>
      <c r="F1796" s="39" t="s">
        <v>2194</v>
      </c>
      <c r="G1796" s="44">
        <v>0.1</v>
      </c>
      <c r="H1796" s="39" t="s">
        <v>101</v>
      </c>
      <c r="I1796" s="39" t="s">
        <v>102</v>
      </c>
      <c r="J1796" s="41">
        <v>4000</v>
      </c>
      <c r="K1796" s="42">
        <v>21.9</v>
      </c>
      <c r="L1796" s="43"/>
      <c r="M1796" s="43">
        <f>L1796*K1796</f>
        <v>0</v>
      </c>
      <c r="N1796" s="35">
        <v>4690368030595</v>
      </c>
    </row>
    <row r="1797" spans="1:14" ht="24" customHeight="1" outlineLevel="3" x14ac:dyDescent="0.2">
      <c r="A1797" s="45">
        <v>13991</v>
      </c>
      <c r="B1797" s="37" t="str">
        <f>HYPERLINK("http://sedek.ru/upload/iblock/582/tomat_danna.jpg","фото")</f>
        <v>фото</v>
      </c>
      <c r="C1797" s="38"/>
      <c r="D1797" s="38" t="s">
        <v>266</v>
      </c>
      <c r="E1797" s="39"/>
      <c r="F1797" s="39" t="s">
        <v>2195</v>
      </c>
      <c r="G1797" s="44">
        <v>0.1</v>
      </c>
      <c r="H1797" s="39" t="s">
        <v>101</v>
      </c>
      <c r="I1797" s="39" t="s">
        <v>102</v>
      </c>
      <c r="J1797" s="41">
        <v>4000</v>
      </c>
      <c r="K1797" s="42">
        <v>20</v>
      </c>
      <c r="L1797" s="43"/>
      <c r="M1797" s="43">
        <f>L1797*K1797</f>
        <v>0</v>
      </c>
      <c r="N1797" s="35">
        <v>4607015189940</v>
      </c>
    </row>
    <row r="1798" spans="1:14" ht="36" customHeight="1" outlineLevel="3" x14ac:dyDescent="0.2">
      <c r="A1798" s="45">
        <v>13931</v>
      </c>
      <c r="B1798" s="37" t="str">
        <f>HYPERLINK("http://sedek.ru/upload/iblock/9b7/tomat_darya_f1.jpg","фото")</f>
        <v>фото</v>
      </c>
      <c r="C1798" s="38"/>
      <c r="D1798" s="38"/>
      <c r="E1798" s="39"/>
      <c r="F1798" s="39" t="s">
        <v>2196</v>
      </c>
      <c r="G1798" s="44">
        <v>0.1</v>
      </c>
      <c r="H1798" s="39" t="s">
        <v>101</v>
      </c>
      <c r="I1798" s="39" t="s">
        <v>102</v>
      </c>
      <c r="J1798" s="41">
        <v>4000</v>
      </c>
      <c r="K1798" s="42">
        <v>42.2</v>
      </c>
      <c r="L1798" s="43"/>
      <c r="M1798" s="43">
        <f>L1798*K1798</f>
        <v>0</v>
      </c>
      <c r="N1798" s="35">
        <v>4690368022200</v>
      </c>
    </row>
    <row r="1799" spans="1:14" ht="24" customHeight="1" outlineLevel="3" x14ac:dyDescent="0.2">
      <c r="A1799" s="45">
        <v>16049</v>
      </c>
      <c r="B1799" s="37" t="str">
        <f>HYPERLINK("http://sedek.ru/upload/iblock/111/tomat_dachnik_sedek.jpg","фото")</f>
        <v>фото</v>
      </c>
      <c r="C1799" s="38"/>
      <c r="D1799" s="38"/>
      <c r="E1799" s="39" t="s">
        <v>2090</v>
      </c>
      <c r="F1799" s="39" t="s">
        <v>2197</v>
      </c>
      <c r="G1799" s="44">
        <v>0.1</v>
      </c>
      <c r="H1799" s="39" t="s">
        <v>101</v>
      </c>
      <c r="I1799" s="39" t="s">
        <v>102</v>
      </c>
      <c r="J1799" s="41">
        <v>4000</v>
      </c>
      <c r="K1799" s="42">
        <v>20.5</v>
      </c>
      <c r="L1799" s="43"/>
      <c r="M1799" s="43">
        <f>L1799*K1799</f>
        <v>0</v>
      </c>
      <c r="N1799" s="35">
        <v>4607015189957</v>
      </c>
    </row>
    <row r="1800" spans="1:14" ht="24" customHeight="1" outlineLevel="3" x14ac:dyDescent="0.2">
      <c r="A1800" s="45">
        <v>16049</v>
      </c>
      <c r="B1800" s="37" t="str">
        <f>HYPERLINK("http://sedek.ru/upload/iblock/111/tomat_dachnik_sedek.jpg","фото")</f>
        <v>фото</v>
      </c>
      <c r="C1800" s="38"/>
      <c r="D1800" s="38"/>
      <c r="E1800" s="39" t="s">
        <v>2090</v>
      </c>
      <c r="F1800" s="39" t="s">
        <v>2198</v>
      </c>
      <c r="G1800" s="44">
        <v>0.1</v>
      </c>
      <c r="H1800" s="39" t="s">
        <v>101</v>
      </c>
      <c r="I1800" s="39" t="s">
        <v>287</v>
      </c>
      <c r="J1800" s="41">
        <v>4000</v>
      </c>
      <c r="K1800" s="42">
        <v>10.3</v>
      </c>
      <c r="L1800" s="43"/>
      <c r="M1800" s="43">
        <f>L1800*K1800</f>
        <v>0</v>
      </c>
      <c r="N1800" s="35">
        <v>4607149409426</v>
      </c>
    </row>
    <row r="1801" spans="1:14" ht="36" customHeight="1" outlineLevel="3" x14ac:dyDescent="0.2">
      <c r="A1801" s="45">
        <v>13956</v>
      </c>
      <c r="B1801" s="37" t="str">
        <f>HYPERLINK("http://sedek.ru/upload/iblock/88b/tomat_dachnyy_lyubimets.jpg","фото")</f>
        <v>фото</v>
      </c>
      <c r="C1801" s="38"/>
      <c r="D1801" s="38"/>
      <c r="E1801" s="39"/>
      <c r="F1801" s="39" t="s">
        <v>2199</v>
      </c>
      <c r="G1801" s="44">
        <v>0.1</v>
      </c>
      <c r="H1801" s="39" t="s">
        <v>101</v>
      </c>
      <c r="I1801" s="39" t="s">
        <v>102</v>
      </c>
      <c r="J1801" s="41">
        <v>4000</v>
      </c>
      <c r="K1801" s="42">
        <v>19.5</v>
      </c>
      <c r="L1801" s="43"/>
      <c r="M1801" s="43">
        <f>L1801*K1801</f>
        <v>0</v>
      </c>
      <c r="N1801" s="35">
        <v>4690368009775</v>
      </c>
    </row>
    <row r="1802" spans="1:14" ht="24" customHeight="1" outlineLevel="3" x14ac:dyDescent="0.2">
      <c r="A1802" s="45">
        <v>15810</v>
      </c>
      <c r="B1802" s="37" t="str">
        <f>HYPERLINK("http://sedek.ru/upload/iblock/235/tomat_dashenka.jpg","фото")</f>
        <v>фото</v>
      </c>
      <c r="C1802" s="38"/>
      <c r="D1802" s="38"/>
      <c r="E1802" s="39"/>
      <c r="F1802" s="39" t="s">
        <v>2200</v>
      </c>
      <c r="G1802" s="44">
        <v>0.1</v>
      </c>
      <c r="H1802" s="39" t="s">
        <v>101</v>
      </c>
      <c r="I1802" s="39" t="s">
        <v>102</v>
      </c>
      <c r="J1802" s="41">
        <v>4000</v>
      </c>
      <c r="K1802" s="42">
        <v>20.5</v>
      </c>
      <c r="L1802" s="43"/>
      <c r="M1802" s="43">
        <f>L1802*K1802</f>
        <v>0</v>
      </c>
      <c r="N1802" s="35">
        <v>4690368009782</v>
      </c>
    </row>
    <row r="1803" spans="1:14" ht="24" customHeight="1" outlineLevel="3" x14ac:dyDescent="0.2">
      <c r="A1803" s="45">
        <v>13890</v>
      </c>
      <c r="B1803" s="37" t="str">
        <f>HYPERLINK("http://sedek.ru/upload/iblock/605/tomat_de_barao_zheltyy.jpg","фото")</f>
        <v>фото</v>
      </c>
      <c r="C1803" s="38"/>
      <c r="D1803" s="38"/>
      <c r="E1803" s="39"/>
      <c r="F1803" s="39" t="s">
        <v>2201</v>
      </c>
      <c r="G1803" s="44">
        <v>0.1</v>
      </c>
      <c r="H1803" s="39" t="s">
        <v>101</v>
      </c>
      <c r="I1803" s="39" t="s">
        <v>102</v>
      </c>
      <c r="J1803" s="41">
        <v>4000</v>
      </c>
      <c r="K1803" s="42">
        <v>16.399999999999999</v>
      </c>
      <c r="L1803" s="43"/>
      <c r="M1803" s="43">
        <f>L1803*K1803</f>
        <v>0</v>
      </c>
      <c r="N1803" s="35">
        <v>4607015189964</v>
      </c>
    </row>
    <row r="1804" spans="1:14" ht="24" customHeight="1" outlineLevel="3" x14ac:dyDescent="0.2">
      <c r="A1804" s="36" t="s">
        <v>2202</v>
      </c>
      <c r="B1804" s="37" t="str">
        <f>HYPERLINK("http://www.sedek.ru/upload/iblock/f8c/tomat_de_barao.jpg","фото")</f>
        <v>фото</v>
      </c>
      <c r="C1804" s="38"/>
      <c r="D1804" s="38"/>
      <c r="E1804" s="39"/>
      <c r="F1804" s="39" t="s">
        <v>2203</v>
      </c>
      <c r="G1804" s="44">
        <v>0.1</v>
      </c>
      <c r="H1804" s="39" t="s">
        <v>101</v>
      </c>
      <c r="I1804" s="39" t="s">
        <v>102</v>
      </c>
      <c r="J1804" s="41">
        <v>4000</v>
      </c>
      <c r="K1804" s="42">
        <v>16.399999999999999</v>
      </c>
      <c r="L1804" s="43"/>
      <c r="M1804" s="43">
        <f>L1804*K1804</f>
        <v>0</v>
      </c>
      <c r="N1804" s="35">
        <v>4690368032636</v>
      </c>
    </row>
    <row r="1805" spans="1:14" ht="24" customHeight="1" outlineLevel="3" x14ac:dyDescent="0.2">
      <c r="A1805" s="45">
        <v>15545</v>
      </c>
      <c r="B1805" s="37" t="str">
        <f>HYPERLINK("http://sedek.ru/upload/iblock/6f7/tomat_de_barao_krasnyy.jpg","фото")</f>
        <v>фото</v>
      </c>
      <c r="C1805" s="38"/>
      <c r="D1805" s="38"/>
      <c r="E1805" s="39"/>
      <c r="F1805" s="39" t="s">
        <v>2204</v>
      </c>
      <c r="G1805" s="44">
        <v>0.1</v>
      </c>
      <c r="H1805" s="39" t="s">
        <v>101</v>
      </c>
      <c r="I1805" s="39" t="s">
        <v>102</v>
      </c>
      <c r="J1805" s="41">
        <v>4000</v>
      </c>
      <c r="K1805" s="42">
        <v>16.399999999999999</v>
      </c>
      <c r="L1805" s="43"/>
      <c r="M1805" s="43">
        <f>L1805*K1805</f>
        <v>0</v>
      </c>
      <c r="N1805" s="35">
        <v>4607015189971</v>
      </c>
    </row>
    <row r="1806" spans="1:14" ht="24" customHeight="1" outlineLevel="3" x14ac:dyDescent="0.2">
      <c r="A1806" s="45">
        <v>14580</v>
      </c>
      <c r="B1806" s="37" t="str">
        <f>HYPERLINK("http://www.sedek.ru/upload/iblock/989/tomat_de_barao_rozovyy.jpg","фото")</f>
        <v>фото</v>
      </c>
      <c r="C1806" s="38"/>
      <c r="D1806" s="38"/>
      <c r="E1806" s="39"/>
      <c r="F1806" s="39" t="s">
        <v>2205</v>
      </c>
      <c r="G1806" s="44">
        <v>0.1</v>
      </c>
      <c r="H1806" s="39" t="s">
        <v>101</v>
      </c>
      <c r="I1806" s="39" t="s">
        <v>102</v>
      </c>
      <c r="J1806" s="41">
        <v>4000</v>
      </c>
      <c r="K1806" s="42">
        <v>16.399999999999999</v>
      </c>
      <c r="L1806" s="43"/>
      <c r="M1806" s="43">
        <f>L1806*K1806</f>
        <v>0</v>
      </c>
      <c r="N1806" s="35">
        <v>4607015189988</v>
      </c>
    </row>
    <row r="1807" spans="1:14" ht="24" customHeight="1" outlineLevel="3" x14ac:dyDescent="0.2">
      <c r="A1807" s="45">
        <v>14580</v>
      </c>
      <c r="B1807" s="37" t="str">
        <f>HYPERLINK("http://www.sedek.ru/upload/iblock/989/tomat_de_barao_rozovyy.jpg","фото")</f>
        <v>фото</v>
      </c>
      <c r="C1807" s="38"/>
      <c r="D1807" s="38"/>
      <c r="E1807" s="39"/>
      <c r="F1807" s="39" t="s">
        <v>2206</v>
      </c>
      <c r="G1807" s="44">
        <v>0.1</v>
      </c>
      <c r="H1807" s="39" t="s">
        <v>101</v>
      </c>
      <c r="I1807" s="39" t="s">
        <v>287</v>
      </c>
      <c r="J1807" s="41">
        <v>4000</v>
      </c>
      <c r="K1807" s="42">
        <v>6.8</v>
      </c>
      <c r="L1807" s="43"/>
      <c r="M1807" s="43">
        <f>L1807*K1807</f>
        <v>0</v>
      </c>
      <c r="N1807" s="35">
        <v>4690368012522</v>
      </c>
    </row>
    <row r="1808" spans="1:14" ht="24" customHeight="1" outlineLevel="3" x14ac:dyDescent="0.2">
      <c r="A1808" s="45">
        <v>15163</v>
      </c>
      <c r="B1808" s="37" t="str">
        <f>HYPERLINK("http://sedek.ru/upload/iblock/ebc/tomat_de_barao_chernyy.JPG","фото")</f>
        <v>фото</v>
      </c>
      <c r="C1808" s="38"/>
      <c r="D1808" s="38"/>
      <c r="E1808" s="39"/>
      <c r="F1808" s="39" t="s">
        <v>2207</v>
      </c>
      <c r="G1808" s="44">
        <v>0.1</v>
      </c>
      <c r="H1808" s="39" t="s">
        <v>101</v>
      </c>
      <c r="I1808" s="39" t="s">
        <v>102</v>
      </c>
      <c r="J1808" s="41">
        <v>4000</v>
      </c>
      <c r="K1808" s="42">
        <v>16.399999999999999</v>
      </c>
      <c r="L1808" s="43"/>
      <c r="M1808" s="43">
        <f>L1808*K1808</f>
        <v>0</v>
      </c>
      <c r="N1808" s="35">
        <v>4607015189995</v>
      </c>
    </row>
    <row r="1809" spans="1:14" ht="24" customHeight="1" outlineLevel="3" x14ac:dyDescent="0.2">
      <c r="A1809" s="45">
        <v>15346</v>
      </c>
      <c r="B1809" s="37" t="str">
        <f>HYPERLINK("http://sedek.ru/upload/iblock/d2f/tomat_delikates.jpg","фото")</f>
        <v>фото</v>
      </c>
      <c r="C1809" s="38"/>
      <c r="D1809" s="38"/>
      <c r="E1809" s="39"/>
      <c r="F1809" s="39" t="s">
        <v>2208</v>
      </c>
      <c r="G1809" s="44">
        <v>0.1</v>
      </c>
      <c r="H1809" s="39" t="s">
        <v>101</v>
      </c>
      <c r="I1809" s="39" t="s">
        <v>102</v>
      </c>
      <c r="J1809" s="41">
        <v>4000</v>
      </c>
      <c r="K1809" s="42">
        <v>20.5</v>
      </c>
      <c r="L1809" s="43"/>
      <c r="M1809" s="43">
        <f>L1809*K1809</f>
        <v>0</v>
      </c>
      <c r="N1809" s="35">
        <v>4607116260012</v>
      </c>
    </row>
    <row r="1810" spans="1:14" ht="36" customHeight="1" outlineLevel="3" x14ac:dyDescent="0.2">
      <c r="A1810" s="45">
        <v>16295</v>
      </c>
      <c r="B1810" s="37" t="str">
        <f>HYPERLINK("http://sedek.ru/upload/iblock/566/tomat_detskaya_radost_f1.jpg","фото")</f>
        <v>фото</v>
      </c>
      <c r="C1810" s="38"/>
      <c r="D1810" s="38"/>
      <c r="E1810" s="39" t="s">
        <v>2173</v>
      </c>
      <c r="F1810" s="39" t="s">
        <v>2209</v>
      </c>
      <c r="G1810" s="54">
        <v>0.05</v>
      </c>
      <c r="H1810" s="39" t="s">
        <v>101</v>
      </c>
      <c r="I1810" s="39" t="s">
        <v>102</v>
      </c>
      <c r="J1810" s="41">
        <v>5000</v>
      </c>
      <c r="K1810" s="42">
        <v>41.1</v>
      </c>
      <c r="L1810" s="43"/>
      <c r="M1810" s="43">
        <f>L1810*K1810</f>
        <v>0</v>
      </c>
      <c r="N1810" s="35">
        <v>4607149404926</v>
      </c>
    </row>
    <row r="1811" spans="1:14" ht="36" customHeight="1" outlineLevel="3" x14ac:dyDescent="0.2">
      <c r="A1811" s="45">
        <v>13693</v>
      </c>
      <c r="B1811" s="37" t="str">
        <f>HYPERLINK("http://www.sedek.ru/upload/iblock/538/tomat_detskie_palchiki_f1.jpg","фото")</f>
        <v>фото</v>
      </c>
      <c r="C1811" s="38"/>
      <c r="D1811" s="38"/>
      <c r="E1811" s="39"/>
      <c r="F1811" s="39" t="s">
        <v>2210</v>
      </c>
      <c r="G1811" s="44">
        <v>0.1</v>
      </c>
      <c r="H1811" s="39" t="s">
        <v>101</v>
      </c>
      <c r="I1811" s="39" t="s">
        <v>102</v>
      </c>
      <c r="J1811" s="41">
        <v>4000</v>
      </c>
      <c r="K1811" s="42">
        <v>21.6</v>
      </c>
      <c r="L1811" s="43"/>
      <c r="M1811" s="43">
        <f>L1811*K1811</f>
        <v>0</v>
      </c>
      <c r="N1811" s="35">
        <v>4690368022217</v>
      </c>
    </row>
    <row r="1812" spans="1:14" ht="24" customHeight="1" outlineLevel="3" x14ac:dyDescent="0.2">
      <c r="A1812" s="46">
        <v>15764</v>
      </c>
      <c r="B1812" s="47" t="str">
        <f>HYPERLINK("http://sedek.ru/upload/iblock/705/tomat_dzhina.jpg","фото")</f>
        <v>фото</v>
      </c>
      <c r="C1812" s="48"/>
      <c r="D1812" s="48"/>
      <c r="E1812" s="49"/>
      <c r="F1812" s="49" t="s">
        <v>2211</v>
      </c>
      <c r="G1812" s="56">
        <v>0.1</v>
      </c>
      <c r="H1812" s="49" t="s">
        <v>101</v>
      </c>
      <c r="I1812" s="49" t="s">
        <v>102</v>
      </c>
      <c r="J1812" s="51">
        <v>4000</v>
      </c>
      <c r="K1812" s="52">
        <v>14.8</v>
      </c>
      <c r="L1812" s="53"/>
      <c r="M1812" s="53">
        <f>L1812*K1812</f>
        <v>0</v>
      </c>
      <c r="N1812" s="35">
        <v>4607116260029</v>
      </c>
    </row>
    <row r="1813" spans="1:14" ht="24" customHeight="1" outlineLevel="3" x14ac:dyDescent="0.2">
      <c r="A1813" s="71">
        <v>15764</v>
      </c>
      <c r="B1813" s="72" t="str">
        <f>HYPERLINK("http://sedek.ru/upload/iblock/705/tomat_dzhina.jpg","фото")</f>
        <v>фото</v>
      </c>
      <c r="C1813" s="73"/>
      <c r="D1813" s="73"/>
      <c r="E1813" s="74"/>
      <c r="F1813" s="74" t="s">
        <v>2212</v>
      </c>
      <c r="G1813" s="80">
        <v>0.1</v>
      </c>
      <c r="H1813" s="74" t="s">
        <v>101</v>
      </c>
      <c r="I1813" s="74" t="s">
        <v>287</v>
      </c>
      <c r="J1813" s="76">
        <v>4000</v>
      </c>
      <c r="K1813" s="77">
        <v>6.8</v>
      </c>
      <c r="L1813" s="78"/>
      <c r="M1813" s="78">
        <f>L1813*K1813</f>
        <v>0</v>
      </c>
      <c r="N1813" s="79">
        <v>4690368011723</v>
      </c>
    </row>
    <row r="1814" spans="1:14" ht="36" customHeight="1" outlineLevel="3" x14ac:dyDescent="0.2">
      <c r="A1814" s="45">
        <v>15899</v>
      </c>
      <c r="B1814" s="37" t="str">
        <f>HYPERLINK("http://sedek.ru/upload/iblock/65c/tomat_dikaya_roza.jpg","фото")</f>
        <v>фото</v>
      </c>
      <c r="C1814" s="38"/>
      <c r="D1814" s="38"/>
      <c r="E1814" s="39"/>
      <c r="F1814" s="39" t="s">
        <v>2213</v>
      </c>
      <c r="G1814" s="44">
        <v>0.1</v>
      </c>
      <c r="H1814" s="39" t="s">
        <v>101</v>
      </c>
      <c r="I1814" s="39" t="s">
        <v>102</v>
      </c>
      <c r="J1814" s="41">
        <v>4000</v>
      </c>
      <c r="K1814" s="42">
        <v>19.3</v>
      </c>
      <c r="L1814" s="43"/>
      <c r="M1814" s="43">
        <f>L1814*K1814</f>
        <v>0</v>
      </c>
      <c r="N1814" s="35">
        <v>4607116260043</v>
      </c>
    </row>
    <row r="1815" spans="1:14" ht="24" customHeight="1" outlineLevel="3" x14ac:dyDescent="0.2">
      <c r="A1815" s="45">
        <v>14723</v>
      </c>
      <c r="B1815" s="37" t="str">
        <f>HYPERLINK("http://www.sedek.ru/upload/iblock/11b/tomat_dina.jpg","фото")</f>
        <v>фото</v>
      </c>
      <c r="C1815" s="38"/>
      <c r="D1815" s="38"/>
      <c r="E1815" s="39"/>
      <c r="F1815" s="39" t="s">
        <v>2214</v>
      </c>
      <c r="G1815" s="44">
        <v>0.1</v>
      </c>
      <c r="H1815" s="39" t="s">
        <v>101</v>
      </c>
      <c r="I1815" s="39" t="s">
        <v>102</v>
      </c>
      <c r="J1815" s="41">
        <v>4000</v>
      </c>
      <c r="K1815" s="42">
        <v>15.6</v>
      </c>
      <c r="L1815" s="43"/>
      <c r="M1815" s="43">
        <f>L1815*K1815</f>
        <v>0</v>
      </c>
      <c r="N1815" s="35">
        <v>4607116260050</v>
      </c>
    </row>
    <row r="1816" spans="1:14" ht="36" customHeight="1" outlineLevel="3" x14ac:dyDescent="0.2">
      <c r="A1816" s="36" t="s">
        <v>2215</v>
      </c>
      <c r="B1816" s="37" t="str">
        <f>HYPERLINK("http://www.sedek.ru/upload/iblock/6b5/tomat_dmitriy_velikiy_f1.jpg","фото")</f>
        <v>фото</v>
      </c>
      <c r="C1816" s="38"/>
      <c r="D1816" s="38" t="s">
        <v>266</v>
      </c>
      <c r="E1816" s="39" t="s">
        <v>2079</v>
      </c>
      <c r="F1816" s="39" t="s">
        <v>2216</v>
      </c>
      <c r="G1816" s="54">
        <v>0.03</v>
      </c>
      <c r="H1816" s="39" t="s">
        <v>101</v>
      </c>
      <c r="I1816" s="39" t="s">
        <v>102</v>
      </c>
      <c r="J1816" s="41">
        <v>5000</v>
      </c>
      <c r="K1816" s="42">
        <v>42.9</v>
      </c>
      <c r="L1816" s="43"/>
      <c r="M1816" s="43">
        <f>L1816*K1816</f>
        <v>0</v>
      </c>
      <c r="N1816" s="35">
        <v>4690368033725</v>
      </c>
    </row>
    <row r="1817" spans="1:14" ht="36" customHeight="1" outlineLevel="3" x14ac:dyDescent="0.2">
      <c r="A1817" s="45">
        <v>15979</v>
      </c>
      <c r="B1817" s="37" t="str">
        <f>HYPERLINK("http://sedek.ru/upload/iblock/fe9/tomat_don_zhuan.jpg","фото")</f>
        <v>фото</v>
      </c>
      <c r="C1817" s="38"/>
      <c r="D1817" s="38"/>
      <c r="E1817" s="39"/>
      <c r="F1817" s="39" t="s">
        <v>2217</v>
      </c>
      <c r="G1817" s="44">
        <v>0.1</v>
      </c>
      <c r="H1817" s="39" t="s">
        <v>101</v>
      </c>
      <c r="I1817" s="39" t="s">
        <v>102</v>
      </c>
      <c r="J1817" s="41">
        <v>4000</v>
      </c>
      <c r="K1817" s="42">
        <v>20</v>
      </c>
      <c r="L1817" s="43"/>
      <c r="M1817" s="43">
        <f>L1817*K1817</f>
        <v>0</v>
      </c>
      <c r="N1817" s="35">
        <v>4607116260067</v>
      </c>
    </row>
    <row r="1818" spans="1:14" ht="36" customHeight="1" outlineLevel="3" x14ac:dyDescent="0.2">
      <c r="A1818" s="45">
        <v>15979</v>
      </c>
      <c r="B1818" s="37" t="str">
        <f>HYPERLINK("http://sedek.ru/upload/iblock/fe9/tomat_don_zhuan.jpg","фото")</f>
        <v>фото</v>
      </c>
      <c r="C1818" s="38"/>
      <c r="D1818" s="38"/>
      <c r="E1818" s="39"/>
      <c r="F1818" s="39" t="s">
        <v>2218</v>
      </c>
      <c r="G1818" s="44">
        <v>0.1</v>
      </c>
      <c r="H1818" s="39" t="s">
        <v>101</v>
      </c>
      <c r="I1818" s="39" t="s">
        <v>287</v>
      </c>
      <c r="J1818" s="41">
        <v>4000</v>
      </c>
      <c r="K1818" s="42">
        <v>7.3</v>
      </c>
      <c r="L1818" s="43"/>
      <c r="M1818" s="43">
        <f>L1818*K1818</f>
        <v>0</v>
      </c>
      <c r="N1818" s="35">
        <v>4690368011761</v>
      </c>
    </row>
    <row r="1819" spans="1:14" ht="36" customHeight="1" outlineLevel="3" x14ac:dyDescent="0.2">
      <c r="A1819" s="45">
        <v>15737</v>
      </c>
      <c r="B1819" s="37" t="str">
        <f>HYPERLINK("http://sedek.ru/upload/iblock/f5b/tomat_don_kikhot_f1.jpg","фото")</f>
        <v>фото</v>
      </c>
      <c r="C1819" s="38"/>
      <c r="D1819" s="38"/>
      <c r="E1819" s="39"/>
      <c r="F1819" s="39" t="s">
        <v>2219</v>
      </c>
      <c r="G1819" s="54">
        <v>0.05</v>
      </c>
      <c r="H1819" s="39" t="s">
        <v>101</v>
      </c>
      <c r="I1819" s="39" t="s">
        <v>102</v>
      </c>
      <c r="J1819" s="41">
        <v>5000</v>
      </c>
      <c r="K1819" s="42">
        <v>20.6</v>
      </c>
      <c r="L1819" s="43"/>
      <c r="M1819" s="43">
        <f>L1819*K1819</f>
        <v>0</v>
      </c>
      <c r="N1819" s="35">
        <v>4607015185294</v>
      </c>
    </row>
    <row r="1820" spans="1:14" ht="24" customHeight="1" outlineLevel="3" x14ac:dyDescent="0.2">
      <c r="A1820" s="45">
        <v>15935</v>
      </c>
      <c r="B1820" s="37" t="str">
        <f>HYPERLINK("http://sedek.ru/upload/iblock/32b/tomat_dochka_f1.jpg","фото")</f>
        <v>фото</v>
      </c>
      <c r="C1820" s="38"/>
      <c r="D1820" s="38"/>
      <c r="E1820" s="39"/>
      <c r="F1820" s="39" t="s">
        <v>2220</v>
      </c>
      <c r="G1820" s="44">
        <v>0.1</v>
      </c>
      <c r="H1820" s="39" t="s">
        <v>101</v>
      </c>
      <c r="I1820" s="39" t="s">
        <v>102</v>
      </c>
      <c r="J1820" s="41">
        <v>4000</v>
      </c>
      <c r="K1820" s="42">
        <v>32.1</v>
      </c>
      <c r="L1820" s="43"/>
      <c r="M1820" s="43">
        <f>L1820*K1820</f>
        <v>0</v>
      </c>
      <c r="N1820" s="35">
        <v>4690368014571</v>
      </c>
    </row>
    <row r="1821" spans="1:14" ht="36" customHeight="1" outlineLevel="3" x14ac:dyDescent="0.2">
      <c r="A1821" s="45">
        <v>14228</v>
      </c>
      <c r="B1821" s="37" t="str">
        <f>HYPERLINK("http://sedek.ru/upload/iblock/9f8/tomat_dubok.jpg","фото")</f>
        <v>фото</v>
      </c>
      <c r="C1821" s="38"/>
      <c r="D1821" s="38"/>
      <c r="E1821" s="39"/>
      <c r="F1821" s="39" t="s">
        <v>2221</v>
      </c>
      <c r="G1821" s="44">
        <v>0.1</v>
      </c>
      <c r="H1821" s="39" t="s">
        <v>101</v>
      </c>
      <c r="I1821" s="39" t="s">
        <v>102</v>
      </c>
      <c r="J1821" s="41">
        <v>3000</v>
      </c>
      <c r="K1821" s="42">
        <v>20</v>
      </c>
      <c r="L1821" s="43"/>
      <c r="M1821" s="43">
        <f>L1821*K1821</f>
        <v>0</v>
      </c>
      <c r="N1821" s="35">
        <v>4607116260074</v>
      </c>
    </row>
    <row r="1822" spans="1:14" ht="24" customHeight="1" outlineLevel="3" x14ac:dyDescent="0.2">
      <c r="A1822" s="45">
        <v>13946</v>
      </c>
      <c r="B1822" s="37" t="str">
        <f>HYPERLINK("http://sedek.ru/upload/iblock/49c/tomat_dushechka_f1.jpg","фото")</f>
        <v>фото</v>
      </c>
      <c r="C1822" s="38"/>
      <c r="D1822" s="38"/>
      <c r="E1822" s="39"/>
      <c r="F1822" s="39" t="s">
        <v>2222</v>
      </c>
      <c r="G1822" s="54">
        <v>0.05</v>
      </c>
      <c r="H1822" s="39" t="s">
        <v>101</v>
      </c>
      <c r="I1822" s="39" t="s">
        <v>102</v>
      </c>
      <c r="J1822" s="41">
        <v>5000</v>
      </c>
      <c r="K1822" s="42">
        <v>23.3</v>
      </c>
      <c r="L1822" s="43"/>
      <c r="M1822" s="43">
        <f>L1822*K1822</f>
        <v>0</v>
      </c>
      <c r="N1822" s="35">
        <v>4607116260081</v>
      </c>
    </row>
    <row r="1823" spans="1:14" ht="24" customHeight="1" outlineLevel="3" x14ac:dyDescent="0.2">
      <c r="A1823" s="36" t="s">
        <v>2223</v>
      </c>
      <c r="B1823" s="37" t="str">
        <f>HYPERLINK("http://sedek.ru/upload/iblock/745/tomat_yezhik.jpg","фото")</f>
        <v>фото</v>
      </c>
      <c r="C1823" s="38"/>
      <c r="D1823" s="38"/>
      <c r="E1823" s="39"/>
      <c r="F1823" s="39" t="s">
        <v>2224</v>
      </c>
      <c r="G1823" s="44">
        <v>0.1</v>
      </c>
      <c r="H1823" s="39" t="s">
        <v>101</v>
      </c>
      <c r="I1823" s="39" t="s">
        <v>102</v>
      </c>
      <c r="J1823" s="41">
        <v>4000</v>
      </c>
      <c r="K1823" s="42">
        <v>20</v>
      </c>
      <c r="L1823" s="43"/>
      <c r="M1823" s="43">
        <f>L1823*K1823</f>
        <v>0</v>
      </c>
      <c r="N1823" s="35">
        <v>4607116260111</v>
      </c>
    </row>
    <row r="1824" spans="1:14" ht="24" customHeight="1" outlineLevel="3" x14ac:dyDescent="0.2">
      <c r="A1824" s="36" t="s">
        <v>2225</v>
      </c>
      <c r="B1824" s="37" t="str">
        <f>HYPERLINK("http://sedek.ru/upload/iblock/8ff/tomat_ekaterina_f1.jpg","фото")</f>
        <v>фото</v>
      </c>
      <c r="C1824" s="38"/>
      <c r="D1824" s="38" t="s">
        <v>266</v>
      </c>
      <c r="E1824" s="39"/>
      <c r="F1824" s="39" t="s">
        <v>2226</v>
      </c>
      <c r="G1824" s="54">
        <v>0.03</v>
      </c>
      <c r="H1824" s="39" t="s">
        <v>101</v>
      </c>
      <c r="I1824" s="39" t="s">
        <v>102</v>
      </c>
      <c r="J1824" s="41">
        <v>5000</v>
      </c>
      <c r="K1824" s="42">
        <v>49.3</v>
      </c>
      <c r="L1824" s="43"/>
      <c r="M1824" s="43">
        <f>L1824*K1824</f>
        <v>0</v>
      </c>
      <c r="N1824" s="35">
        <v>4690368014588</v>
      </c>
    </row>
    <row r="1825" spans="1:14" ht="36" customHeight="1" outlineLevel="3" x14ac:dyDescent="0.2">
      <c r="A1825" s="36" t="s">
        <v>2227</v>
      </c>
      <c r="B1825" s="37" t="str">
        <f>HYPERLINK("http://sedek.ru/upload/iblock/a8b/tomat_ekaterina_velikaya_f1.jpg","фото")</f>
        <v>фото</v>
      </c>
      <c r="C1825" s="38"/>
      <c r="D1825" s="38"/>
      <c r="E1825" s="39" t="s">
        <v>2079</v>
      </c>
      <c r="F1825" s="39" t="s">
        <v>2228</v>
      </c>
      <c r="G1825" s="54">
        <v>0.03</v>
      </c>
      <c r="H1825" s="39" t="s">
        <v>101</v>
      </c>
      <c r="I1825" s="39" t="s">
        <v>102</v>
      </c>
      <c r="J1825" s="41">
        <v>5000</v>
      </c>
      <c r="K1825" s="42">
        <v>49.3</v>
      </c>
      <c r="L1825" s="43"/>
      <c r="M1825" s="43">
        <f>L1825*K1825</f>
        <v>0</v>
      </c>
      <c r="N1825" s="35">
        <v>4690368027496</v>
      </c>
    </row>
    <row r="1826" spans="1:14" ht="36" customHeight="1" outlineLevel="3" x14ac:dyDescent="0.2">
      <c r="A1826" s="45">
        <v>16253</v>
      </c>
      <c r="B1826" s="37" t="str">
        <f>HYPERLINK("http://sedek.ru/upload/iblock/16d/tomat_elizaveta_f1.jpg","фото")</f>
        <v>фото</v>
      </c>
      <c r="C1826" s="38"/>
      <c r="D1826" s="38"/>
      <c r="E1826" s="39"/>
      <c r="F1826" s="39" t="s">
        <v>2229</v>
      </c>
      <c r="G1826" s="54">
        <v>0.05</v>
      </c>
      <c r="H1826" s="39" t="s">
        <v>101</v>
      </c>
      <c r="I1826" s="39" t="s">
        <v>102</v>
      </c>
      <c r="J1826" s="41">
        <v>5000</v>
      </c>
      <c r="K1826" s="42">
        <v>39.299999999999997</v>
      </c>
      <c r="L1826" s="43"/>
      <c r="M1826" s="43">
        <f>L1826*K1826</f>
        <v>0</v>
      </c>
      <c r="N1826" s="35">
        <v>4690368014991</v>
      </c>
    </row>
    <row r="1827" spans="1:14" ht="24" customHeight="1" outlineLevel="3" x14ac:dyDescent="0.2">
      <c r="A1827" s="36" t="s">
        <v>2230</v>
      </c>
      <c r="B1827" s="37" t="str">
        <f>HYPERLINK("http://sedek.ru/upload/iblock/6a7/tomat_zhadina_f1.jpg","фото")</f>
        <v>фото</v>
      </c>
      <c r="C1827" s="38"/>
      <c r="D1827" s="38"/>
      <c r="E1827" s="39"/>
      <c r="F1827" s="39" t="s">
        <v>2231</v>
      </c>
      <c r="G1827" s="54">
        <v>0.05</v>
      </c>
      <c r="H1827" s="39" t="s">
        <v>101</v>
      </c>
      <c r="I1827" s="39" t="s">
        <v>102</v>
      </c>
      <c r="J1827" s="41">
        <v>5000</v>
      </c>
      <c r="K1827" s="42">
        <v>35.4</v>
      </c>
      <c r="L1827" s="43"/>
      <c r="M1827" s="43">
        <f>L1827*K1827</f>
        <v>0</v>
      </c>
      <c r="N1827" s="35">
        <v>4690368028622</v>
      </c>
    </row>
    <row r="1828" spans="1:14" ht="36" customHeight="1" outlineLevel="3" x14ac:dyDescent="0.2">
      <c r="A1828" s="45">
        <v>16217</v>
      </c>
      <c r="B1828" s="37" t="str">
        <f>HYPERLINK("http://sedek.ru/upload/iblock/71b/tomat_zhar_ptitsa_f1.jpg","фото")</f>
        <v>фото</v>
      </c>
      <c r="C1828" s="38"/>
      <c r="D1828" s="38"/>
      <c r="E1828" s="39"/>
      <c r="F1828" s="39" t="s">
        <v>2232</v>
      </c>
      <c r="G1828" s="54">
        <v>0.05</v>
      </c>
      <c r="H1828" s="39" t="s">
        <v>101</v>
      </c>
      <c r="I1828" s="39" t="s">
        <v>102</v>
      </c>
      <c r="J1828" s="41">
        <v>5000</v>
      </c>
      <c r="K1828" s="42">
        <v>27.7</v>
      </c>
      <c r="L1828" s="43"/>
      <c r="M1828" s="43">
        <f>L1828*K1828</f>
        <v>0</v>
      </c>
      <c r="N1828" s="35">
        <v>4607015185348</v>
      </c>
    </row>
    <row r="1829" spans="1:14" ht="36" customHeight="1" outlineLevel="3" x14ac:dyDescent="0.2">
      <c r="A1829" s="45">
        <v>14254</v>
      </c>
      <c r="B1829" s="37" t="str">
        <f>HYPERLINK("http://sedek.ru/upload/iblock/45e/tomat_zheleznaya_ledi_f1.jpg","фото")</f>
        <v>фото</v>
      </c>
      <c r="C1829" s="38"/>
      <c r="D1829" s="38" t="s">
        <v>266</v>
      </c>
      <c r="E1829" s="39"/>
      <c r="F1829" s="39" t="s">
        <v>2233</v>
      </c>
      <c r="G1829" s="54">
        <v>0.05</v>
      </c>
      <c r="H1829" s="39" t="s">
        <v>101</v>
      </c>
      <c r="I1829" s="39" t="s">
        <v>102</v>
      </c>
      <c r="J1829" s="41">
        <v>5000</v>
      </c>
      <c r="K1829" s="42">
        <v>37.299999999999997</v>
      </c>
      <c r="L1829" s="43"/>
      <c r="M1829" s="43">
        <f>L1829*K1829</f>
        <v>0</v>
      </c>
      <c r="N1829" s="35">
        <v>4690368008174</v>
      </c>
    </row>
    <row r="1830" spans="1:14" ht="24" customHeight="1" outlineLevel="3" x14ac:dyDescent="0.2">
      <c r="A1830" s="45">
        <v>15853</v>
      </c>
      <c r="B1830" s="37" t="str">
        <f>HYPERLINK("http://sedek.ru/upload/iblock/f39/tomat_zheltyy_gigant.jpg","фото")</f>
        <v>фото</v>
      </c>
      <c r="C1830" s="38"/>
      <c r="D1830" s="38" t="s">
        <v>266</v>
      </c>
      <c r="E1830" s="39"/>
      <c r="F1830" s="39" t="s">
        <v>2234</v>
      </c>
      <c r="G1830" s="44">
        <v>0.1</v>
      </c>
      <c r="H1830" s="39" t="s">
        <v>101</v>
      </c>
      <c r="I1830" s="39" t="s">
        <v>102</v>
      </c>
      <c r="J1830" s="41">
        <v>4000</v>
      </c>
      <c r="K1830" s="42">
        <v>19.3</v>
      </c>
      <c r="L1830" s="43"/>
      <c r="M1830" s="43">
        <f>L1830*K1830</f>
        <v>0</v>
      </c>
      <c r="N1830" s="35">
        <v>4607116260159</v>
      </c>
    </row>
    <row r="1831" spans="1:14" ht="36" customHeight="1" outlineLevel="3" x14ac:dyDescent="0.2">
      <c r="A1831" s="45">
        <v>15999</v>
      </c>
      <c r="B1831" s="37" t="str">
        <f>HYPERLINK("http://sedek.ru/upload/iblock/600/tomat_zhemchuzhina_krasnaya.jpg","фото")</f>
        <v>фото</v>
      </c>
      <c r="C1831" s="38"/>
      <c r="D1831" s="38"/>
      <c r="E1831" s="39"/>
      <c r="F1831" s="39" t="s">
        <v>2235</v>
      </c>
      <c r="G1831" s="44">
        <v>0.1</v>
      </c>
      <c r="H1831" s="39" t="s">
        <v>101</v>
      </c>
      <c r="I1831" s="39" t="s">
        <v>102</v>
      </c>
      <c r="J1831" s="41">
        <v>4000</v>
      </c>
      <c r="K1831" s="42">
        <v>21.9</v>
      </c>
      <c r="L1831" s="43"/>
      <c r="M1831" s="43">
        <f>L1831*K1831</f>
        <v>0</v>
      </c>
      <c r="N1831" s="35">
        <v>4607149403820</v>
      </c>
    </row>
    <row r="1832" spans="1:14" ht="36" customHeight="1" outlineLevel="3" x14ac:dyDescent="0.2">
      <c r="A1832" s="36" t="s">
        <v>2236</v>
      </c>
      <c r="B1832" s="37" t="str">
        <f>HYPERLINK("http://www.sedek.ru/upload/iblock/26f/o624muogh7ckpjm8brzf015i1g0bfr8y/tomat_zhemchuzhina_malinovaya.png","фото")</f>
        <v>фото</v>
      </c>
      <c r="C1832" s="38" t="s">
        <v>266</v>
      </c>
      <c r="D1832" s="38"/>
      <c r="E1832" s="39"/>
      <c r="F1832" s="39" t="s">
        <v>2237</v>
      </c>
      <c r="G1832" s="44">
        <v>0.2</v>
      </c>
      <c r="H1832" s="39" t="s">
        <v>101</v>
      </c>
      <c r="I1832" s="39" t="s">
        <v>102</v>
      </c>
      <c r="J1832" s="41">
        <v>3000</v>
      </c>
      <c r="K1832" s="42">
        <v>20.8</v>
      </c>
      <c r="L1832" s="43"/>
      <c r="M1832" s="43">
        <f>L1832*K1832</f>
        <v>0</v>
      </c>
      <c r="N1832" s="35">
        <v>4690368033909</v>
      </c>
    </row>
    <row r="1833" spans="1:14" ht="24" customHeight="1" outlineLevel="3" x14ac:dyDescent="0.2">
      <c r="A1833" s="36" t="s">
        <v>2238</v>
      </c>
      <c r="B1833" s="37" t="str">
        <f>HYPERLINK("http://sedek.ru/upload/iblock/b5a/tomat_zhenushka_f1.jpg","фото")</f>
        <v>фото</v>
      </c>
      <c r="C1833" s="38"/>
      <c r="D1833" s="38"/>
      <c r="E1833" s="39"/>
      <c r="F1833" s="39" t="s">
        <v>2239</v>
      </c>
      <c r="G1833" s="54">
        <v>0.03</v>
      </c>
      <c r="H1833" s="39" t="s">
        <v>101</v>
      </c>
      <c r="I1833" s="39" t="s">
        <v>102</v>
      </c>
      <c r="J1833" s="41">
        <v>5000</v>
      </c>
      <c r="K1833" s="42">
        <v>44.5</v>
      </c>
      <c r="L1833" s="43"/>
      <c r="M1833" s="43">
        <f>L1833*K1833</f>
        <v>0</v>
      </c>
      <c r="N1833" s="35">
        <v>4690368008075</v>
      </c>
    </row>
    <row r="1834" spans="1:14" ht="24" customHeight="1" outlineLevel="3" x14ac:dyDescent="0.2">
      <c r="A1834" s="45">
        <v>15770</v>
      </c>
      <c r="B1834" s="37" t="str">
        <f>HYPERLINK("http://sedek.ru/upload/iblock/9e6/tomat_zhiraf.jpg","фото")</f>
        <v>фото</v>
      </c>
      <c r="C1834" s="38"/>
      <c r="D1834" s="38"/>
      <c r="E1834" s="39"/>
      <c r="F1834" s="39" t="s">
        <v>2240</v>
      </c>
      <c r="G1834" s="44">
        <v>0.1</v>
      </c>
      <c r="H1834" s="39" t="s">
        <v>101</v>
      </c>
      <c r="I1834" s="39" t="s">
        <v>102</v>
      </c>
      <c r="J1834" s="41">
        <v>4000</v>
      </c>
      <c r="K1834" s="42">
        <v>20</v>
      </c>
      <c r="L1834" s="43"/>
      <c r="M1834" s="43">
        <f>L1834*K1834</f>
        <v>0</v>
      </c>
      <c r="N1834" s="35">
        <v>4607116260166</v>
      </c>
    </row>
    <row r="1835" spans="1:14" ht="24" customHeight="1" outlineLevel="3" x14ac:dyDescent="0.2">
      <c r="A1835" s="45">
        <v>15770</v>
      </c>
      <c r="B1835" s="37" t="str">
        <f>HYPERLINK("http://sedek.ru/upload/iblock/9e6/tomat_zhiraf.jpg","фото")</f>
        <v>фото</v>
      </c>
      <c r="C1835" s="38"/>
      <c r="D1835" s="38"/>
      <c r="E1835" s="39"/>
      <c r="F1835" s="39" t="s">
        <v>2241</v>
      </c>
      <c r="G1835" s="44">
        <v>0.1</v>
      </c>
      <c r="H1835" s="39" t="s">
        <v>101</v>
      </c>
      <c r="I1835" s="39" t="s">
        <v>287</v>
      </c>
      <c r="J1835" s="41">
        <v>4000</v>
      </c>
      <c r="K1835" s="42">
        <v>9.6999999999999993</v>
      </c>
      <c r="L1835" s="43"/>
      <c r="M1835" s="43">
        <f>L1835*K1835</f>
        <v>0</v>
      </c>
      <c r="N1835" s="35">
        <v>4690368013314</v>
      </c>
    </row>
    <row r="1836" spans="1:14" ht="24" customHeight="1" outlineLevel="3" x14ac:dyDescent="0.2">
      <c r="A1836" s="45">
        <v>15101</v>
      </c>
      <c r="B1836" s="37" t="str">
        <f>HYPERLINK("http://sedek.ru/upload/iblock/d8b/tomat_zhirdyay_f1.jpg","фото")</f>
        <v>фото</v>
      </c>
      <c r="C1836" s="38"/>
      <c r="D1836" s="38" t="s">
        <v>266</v>
      </c>
      <c r="E1836" s="39"/>
      <c r="F1836" s="39" t="s">
        <v>2242</v>
      </c>
      <c r="G1836" s="54">
        <v>0.05</v>
      </c>
      <c r="H1836" s="39" t="s">
        <v>101</v>
      </c>
      <c r="I1836" s="39" t="s">
        <v>102</v>
      </c>
      <c r="J1836" s="41">
        <v>5000</v>
      </c>
      <c r="K1836" s="42">
        <v>41.1</v>
      </c>
      <c r="L1836" s="43"/>
      <c r="M1836" s="43">
        <f>L1836*K1836</f>
        <v>0</v>
      </c>
      <c r="N1836" s="35">
        <v>4690368008082</v>
      </c>
    </row>
    <row r="1837" spans="1:14" ht="36" customHeight="1" outlineLevel="3" x14ac:dyDescent="0.2">
      <c r="A1837" s="36" t="s">
        <v>2243</v>
      </c>
      <c r="B1837" s="37" t="str">
        <f>HYPERLINK("http://sedek.ru/upload/iblock/aff/tomat_zhirtrest_f1.jpg","фото")</f>
        <v>фото</v>
      </c>
      <c r="C1837" s="38"/>
      <c r="D1837" s="38" t="s">
        <v>266</v>
      </c>
      <c r="E1837" s="39"/>
      <c r="F1837" s="39" t="s">
        <v>2244</v>
      </c>
      <c r="G1837" s="44">
        <v>0.1</v>
      </c>
      <c r="H1837" s="39" t="s">
        <v>101</v>
      </c>
      <c r="I1837" s="39" t="s">
        <v>102</v>
      </c>
      <c r="J1837" s="41">
        <v>4000</v>
      </c>
      <c r="K1837" s="42">
        <v>21</v>
      </c>
      <c r="L1837" s="43"/>
      <c r="M1837" s="43">
        <f>L1837*K1837</f>
        <v>0</v>
      </c>
      <c r="N1837" s="35">
        <v>4690368028639</v>
      </c>
    </row>
    <row r="1838" spans="1:14" ht="24" customHeight="1" outlineLevel="3" x14ac:dyDescent="0.2">
      <c r="A1838" s="45">
        <v>14168</v>
      </c>
      <c r="B1838" s="37" t="str">
        <f>HYPERLINK("http://sedek.ru/upload/iblock/dcf/tomat_zagadka.jpg","фото")</f>
        <v>фото</v>
      </c>
      <c r="C1838" s="38"/>
      <c r="D1838" s="38"/>
      <c r="E1838" s="39"/>
      <c r="F1838" s="39" t="s">
        <v>2245</v>
      </c>
      <c r="G1838" s="44">
        <v>0.1</v>
      </c>
      <c r="H1838" s="39" t="s">
        <v>101</v>
      </c>
      <c r="I1838" s="39" t="s">
        <v>102</v>
      </c>
      <c r="J1838" s="41">
        <v>4000</v>
      </c>
      <c r="K1838" s="42">
        <v>19.3</v>
      </c>
      <c r="L1838" s="43"/>
      <c r="M1838" s="43">
        <f>L1838*K1838</f>
        <v>0</v>
      </c>
      <c r="N1838" s="35">
        <v>4690368023580</v>
      </c>
    </row>
    <row r="1839" spans="1:14" ht="24" customHeight="1" outlineLevel="3" x14ac:dyDescent="0.2">
      <c r="A1839" s="45">
        <v>15338</v>
      </c>
      <c r="B1839" s="37" t="str">
        <f>HYPERLINK("http://sedek.ru/upload/iblock/f52/tomat_zarevo_f1.jpg","фото")</f>
        <v>фото</v>
      </c>
      <c r="C1839" s="38"/>
      <c r="D1839" s="38"/>
      <c r="E1839" s="39"/>
      <c r="F1839" s="39" t="s">
        <v>2246</v>
      </c>
      <c r="G1839" s="54">
        <v>0.05</v>
      </c>
      <c r="H1839" s="39" t="s">
        <v>101</v>
      </c>
      <c r="I1839" s="39" t="s">
        <v>102</v>
      </c>
      <c r="J1839" s="41">
        <v>5000</v>
      </c>
      <c r="K1839" s="42">
        <v>38.9</v>
      </c>
      <c r="L1839" s="43"/>
      <c r="M1839" s="43">
        <f>L1839*K1839</f>
        <v>0</v>
      </c>
      <c r="N1839" s="35">
        <v>4690368012966</v>
      </c>
    </row>
    <row r="1840" spans="1:14" ht="24" customHeight="1" outlineLevel="3" x14ac:dyDescent="0.2">
      <c r="A1840" s="45">
        <v>13692</v>
      </c>
      <c r="B1840" s="37" t="str">
        <f>HYPERLINK("http://sedek.ru/upload/iblock/429/tomat_zasolochnyy_gruntovyy.jpg","фото")</f>
        <v>фото</v>
      </c>
      <c r="C1840" s="38"/>
      <c r="D1840" s="38"/>
      <c r="E1840" s="39"/>
      <c r="F1840" s="39" t="s">
        <v>2247</v>
      </c>
      <c r="G1840" s="44">
        <v>0.1</v>
      </c>
      <c r="H1840" s="39" t="s">
        <v>101</v>
      </c>
      <c r="I1840" s="39" t="s">
        <v>102</v>
      </c>
      <c r="J1840" s="41">
        <v>4000</v>
      </c>
      <c r="K1840" s="42">
        <v>20.5</v>
      </c>
      <c r="L1840" s="43"/>
      <c r="M1840" s="43">
        <f>L1840*K1840</f>
        <v>0</v>
      </c>
      <c r="N1840" s="35">
        <v>4690368022224</v>
      </c>
    </row>
    <row r="1841" spans="1:14" ht="12" customHeight="1" outlineLevel="3" x14ac:dyDescent="0.2">
      <c r="A1841" s="36" t="s">
        <v>2248</v>
      </c>
      <c r="B1841" s="37" t="str">
        <f>HYPERLINK("http://www.sedek.ru/upload/iblock/b8b/3p60c6dq11trlsgmr2ydqvbrpglzun75/tomat_zvezdnaya_galaktika.png","фото")</f>
        <v>фото</v>
      </c>
      <c r="C1841" s="38" t="s">
        <v>266</v>
      </c>
      <c r="D1841" s="38"/>
      <c r="E1841" s="39"/>
      <c r="F1841" s="39" t="s">
        <v>2249</v>
      </c>
      <c r="G1841" s="44">
        <v>0.1</v>
      </c>
      <c r="H1841" s="39"/>
      <c r="I1841" s="39" t="s">
        <v>102</v>
      </c>
      <c r="J1841" s="41">
        <v>5000</v>
      </c>
      <c r="K1841" s="42">
        <v>46</v>
      </c>
      <c r="L1841" s="43"/>
      <c r="M1841" s="43">
        <f>L1841*K1841</f>
        <v>0</v>
      </c>
      <c r="N1841" s="35">
        <v>4690368042994</v>
      </c>
    </row>
    <row r="1842" spans="1:14" ht="36" customHeight="1" outlineLevel="3" x14ac:dyDescent="0.2">
      <c r="A1842" s="45">
        <v>14165</v>
      </c>
      <c r="B1842" s="37" t="str">
        <f>HYPERLINK("http://sedek.ru/upload/iblock/0e0/tomat_zolotaya_andromeda_f1.jpg","фото")</f>
        <v>фото</v>
      </c>
      <c r="C1842" s="38"/>
      <c r="D1842" s="38"/>
      <c r="E1842" s="39"/>
      <c r="F1842" s="39" t="s">
        <v>2250</v>
      </c>
      <c r="G1842" s="54">
        <v>0.05</v>
      </c>
      <c r="H1842" s="39" t="s">
        <v>101</v>
      </c>
      <c r="I1842" s="39" t="s">
        <v>102</v>
      </c>
      <c r="J1842" s="41">
        <v>5000</v>
      </c>
      <c r="K1842" s="42">
        <v>27.7</v>
      </c>
      <c r="L1842" s="43"/>
      <c r="M1842" s="43">
        <f>L1842*K1842</f>
        <v>0</v>
      </c>
      <c r="N1842" s="35">
        <v>4690368014595</v>
      </c>
    </row>
    <row r="1843" spans="1:14" ht="36" customHeight="1" outlineLevel="3" x14ac:dyDescent="0.2">
      <c r="A1843" s="45">
        <v>14663</v>
      </c>
      <c r="B1843" s="37" t="str">
        <f>HYPERLINK("http://sedek.ru/upload/iblock/b20/tomat_zolotaya_kist.jpg","фото")</f>
        <v>фото</v>
      </c>
      <c r="C1843" s="38"/>
      <c r="D1843" s="38" t="s">
        <v>266</v>
      </c>
      <c r="E1843" s="39"/>
      <c r="F1843" s="39" t="s">
        <v>2251</v>
      </c>
      <c r="G1843" s="44">
        <v>0.2</v>
      </c>
      <c r="H1843" s="39" t="s">
        <v>101</v>
      </c>
      <c r="I1843" s="39" t="s">
        <v>102</v>
      </c>
      <c r="J1843" s="41">
        <v>3000</v>
      </c>
      <c r="K1843" s="42">
        <v>20.5</v>
      </c>
      <c r="L1843" s="43"/>
      <c r="M1843" s="43">
        <f>L1843*K1843</f>
        <v>0</v>
      </c>
      <c r="N1843" s="35">
        <v>4607116260197</v>
      </c>
    </row>
    <row r="1844" spans="1:14" ht="36" customHeight="1" outlineLevel="3" x14ac:dyDescent="0.2">
      <c r="A1844" s="45">
        <v>14663</v>
      </c>
      <c r="B1844" s="37" t="str">
        <f>HYPERLINK("http://sedek.ru/upload/iblock/b20/tomat_zolotaya_kist.jpg","фото")</f>
        <v>фото</v>
      </c>
      <c r="C1844" s="38"/>
      <c r="D1844" s="38" t="s">
        <v>266</v>
      </c>
      <c r="E1844" s="39"/>
      <c r="F1844" s="39" t="s">
        <v>2252</v>
      </c>
      <c r="G1844" s="44">
        <v>0.2</v>
      </c>
      <c r="H1844" s="39" t="s">
        <v>101</v>
      </c>
      <c r="I1844" s="39" t="s">
        <v>287</v>
      </c>
      <c r="J1844" s="41">
        <v>3000</v>
      </c>
      <c r="K1844" s="42">
        <v>6.8</v>
      </c>
      <c r="L1844" s="43"/>
      <c r="M1844" s="43">
        <f>L1844*K1844</f>
        <v>0</v>
      </c>
      <c r="N1844" s="35">
        <v>4690368013338</v>
      </c>
    </row>
    <row r="1845" spans="1:14" ht="36" customHeight="1" outlineLevel="3" x14ac:dyDescent="0.2">
      <c r="A1845" s="45">
        <v>14500</v>
      </c>
      <c r="B1845" s="37" t="str">
        <f>HYPERLINK("http://sedek.ru/upload/iblock/7d7/tomat_zolotaya_rybka.jpg","фото")</f>
        <v>фото</v>
      </c>
      <c r="C1845" s="38"/>
      <c r="D1845" s="38"/>
      <c r="E1845" s="39"/>
      <c r="F1845" s="39" t="s">
        <v>2253</v>
      </c>
      <c r="G1845" s="44">
        <v>0.1</v>
      </c>
      <c r="H1845" s="39" t="s">
        <v>101</v>
      </c>
      <c r="I1845" s="39" t="s">
        <v>102</v>
      </c>
      <c r="J1845" s="41">
        <v>4000</v>
      </c>
      <c r="K1845" s="42">
        <v>22.3</v>
      </c>
      <c r="L1845" s="43"/>
      <c r="M1845" s="43">
        <f>L1845*K1845</f>
        <v>0</v>
      </c>
      <c r="N1845" s="35">
        <v>4607116260203</v>
      </c>
    </row>
    <row r="1846" spans="1:14" ht="24" customHeight="1" outlineLevel="3" x14ac:dyDescent="0.2">
      <c r="A1846" s="45">
        <v>14500</v>
      </c>
      <c r="B1846" s="37" t="str">
        <f>HYPERLINK("http://sedek.ru/upload/iblock/7d7/tomat_zolotaya_rybka.jpg","фото")</f>
        <v>фото</v>
      </c>
      <c r="C1846" s="38"/>
      <c r="D1846" s="38"/>
      <c r="E1846" s="39"/>
      <c r="F1846" s="39" t="s">
        <v>2254</v>
      </c>
      <c r="G1846" s="44">
        <v>0.1</v>
      </c>
      <c r="H1846" s="39" t="s">
        <v>101</v>
      </c>
      <c r="I1846" s="39" t="s">
        <v>287</v>
      </c>
      <c r="J1846" s="41">
        <v>4000</v>
      </c>
      <c r="K1846" s="42">
        <v>9.6</v>
      </c>
      <c r="L1846" s="43"/>
      <c r="M1846" s="43">
        <f>L1846*K1846</f>
        <v>0</v>
      </c>
      <c r="N1846" s="35">
        <v>4690368005432</v>
      </c>
    </row>
    <row r="1847" spans="1:14" ht="36" customHeight="1" outlineLevel="3" x14ac:dyDescent="0.2">
      <c r="A1847" s="45">
        <v>15617</v>
      </c>
      <c r="B1847" s="37" t="str">
        <f>HYPERLINK("http://sedek.ru/upload/iblock/4bc/tomat_zolotoe_serdtse.jpg","фото")</f>
        <v>фото</v>
      </c>
      <c r="C1847" s="38"/>
      <c r="D1847" s="38"/>
      <c r="E1847" s="39"/>
      <c r="F1847" s="39" t="s">
        <v>2255</v>
      </c>
      <c r="G1847" s="44">
        <v>0.1</v>
      </c>
      <c r="H1847" s="39" t="s">
        <v>101</v>
      </c>
      <c r="I1847" s="39" t="s">
        <v>102</v>
      </c>
      <c r="J1847" s="41">
        <v>4000</v>
      </c>
      <c r="K1847" s="42">
        <v>21.4</v>
      </c>
      <c r="L1847" s="43"/>
      <c r="M1847" s="43">
        <f>L1847*K1847</f>
        <v>0</v>
      </c>
      <c r="N1847" s="35">
        <v>4607116260227</v>
      </c>
    </row>
    <row r="1848" spans="1:14" ht="24" customHeight="1" outlineLevel="3" x14ac:dyDescent="0.2">
      <c r="A1848" s="45">
        <v>14524</v>
      </c>
      <c r="B1848" s="37" t="str">
        <f>HYPERLINK("http://www.sedek.ru/upload/iblock/b50/tomat_zolotoy.jpg","фото")</f>
        <v>фото</v>
      </c>
      <c r="C1848" s="38"/>
      <c r="D1848" s="38"/>
      <c r="E1848" s="39"/>
      <c r="F1848" s="39" t="s">
        <v>2256</v>
      </c>
      <c r="G1848" s="44">
        <v>0.1</v>
      </c>
      <c r="H1848" s="39" t="s">
        <v>101</v>
      </c>
      <c r="I1848" s="39" t="s">
        <v>102</v>
      </c>
      <c r="J1848" s="41">
        <v>4000</v>
      </c>
      <c r="K1848" s="42">
        <v>20.5</v>
      </c>
      <c r="L1848" s="43"/>
      <c r="M1848" s="43">
        <f>L1848*K1848</f>
        <v>0</v>
      </c>
      <c r="N1848" s="35">
        <v>4607116260234</v>
      </c>
    </row>
    <row r="1849" spans="1:14" ht="36" customHeight="1" outlineLevel="3" x14ac:dyDescent="0.2">
      <c r="A1849" s="45">
        <v>17015</v>
      </c>
      <c r="B1849" s="37" t="str">
        <f>HYPERLINK("http://www.sedek.ru/upload/iblock/f58/tomat_zolotye_kolokola_f1.jpg","Фото")</f>
        <v>Фото</v>
      </c>
      <c r="C1849" s="38"/>
      <c r="D1849" s="38" t="s">
        <v>266</v>
      </c>
      <c r="E1849" s="39"/>
      <c r="F1849" s="39" t="s">
        <v>2257</v>
      </c>
      <c r="G1849" s="54">
        <v>0.05</v>
      </c>
      <c r="H1849" s="39" t="s">
        <v>101</v>
      </c>
      <c r="I1849" s="39" t="s">
        <v>102</v>
      </c>
      <c r="J1849" s="41">
        <v>5000</v>
      </c>
      <c r="K1849" s="42">
        <v>34.5</v>
      </c>
      <c r="L1849" s="43"/>
      <c r="M1849" s="43">
        <f>L1849*K1849</f>
        <v>0</v>
      </c>
      <c r="N1849" s="35">
        <v>4607149409068</v>
      </c>
    </row>
    <row r="1850" spans="1:14" ht="24" customHeight="1" outlineLevel="3" x14ac:dyDescent="0.2">
      <c r="A1850" s="36" t="s">
        <v>2258</v>
      </c>
      <c r="B1850" s="37" t="str">
        <f>HYPERLINK("http://www.sedek.ru/upload/iblock/573/tomat_ivan_groznyy_f1.jpg","фото")</f>
        <v>фото</v>
      </c>
      <c r="C1850" s="38"/>
      <c r="D1850" s="38"/>
      <c r="E1850" s="39"/>
      <c r="F1850" s="39" t="s">
        <v>2259</v>
      </c>
      <c r="G1850" s="54">
        <v>0.03</v>
      </c>
      <c r="H1850" s="39" t="s">
        <v>101</v>
      </c>
      <c r="I1850" s="39" t="s">
        <v>102</v>
      </c>
      <c r="J1850" s="41">
        <v>5000</v>
      </c>
      <c r="K1850" s="42">
        <v>47.1</v>
      </c>
      <c r="L1850" s="43"/>
      <c r="M1850" s="43">
        <f>L1850*K1850</f>
        <v>0</v>
      </c>
      <c r="N1850" s="35">
        <v>4690368032537</v>
      </c>
    </row>
    <row r="1851" spans="1:14" ht="36" customHeight="1" outlineLevel="3" x14ac:dyDescent="0.2">
      <c r="A1851" s="36" t="s">
        <v>2260</v>
      </c>
      <c r="B1851" s="37" t="str">
        <f>HYPERLINK("http://www.sedek.ru/upload/iblock/e2b/tomat_ivan_tsarevich_f1.jpg","фото")</f>
        <v>фото</v>
      </c>
      <c r="C1851" s="38"/>
      <c r="D1851" s="38"/>
      <c r="E1851" s="39"/>
      <c r="F1851" s="39" t="s">
        <v>2261</v>
      </c>
      <c r="G1851" s="44">
        <v>0.1</v>
      </c>
      <c r="H1851" s="39" t="s">
        <v>101</v>
      </c>
      <c r="I1851" s="39" t="s">
        <v>102</v>
      </c>
      <c r="J1851" s="41">
        <v>4000</v>
      </c>
      <c r="K1851" s="42">
        <v>28.2</v>
      </c>
      <c r="L1851" s="43"/>
      <c r="M1851" s="43">
        <f>L1851*K1851</f>
        <v>0</v>
      </c>
      <c r="N1851" s="35">
        <v>4690368028110</v>
      </c>
    </row>
    <row r="1852" spans="1:14" ht="36" customHeight="1" outlineLevel="3" x14ac:dyDescent="0.2">
      <c r="A1852" s="45">
        <v>16092</v>
      </c>
      <c r="B1852" s="37" t="str">
        <f>HYPERLINK("http://sedek.ru/upload/iblock/fe3/tomat_ivanych_f1.jpg","фото")</f>
        <v>фото</v>
      </c>
      <c r="C1852" s="38"/>
      <c r="D1852" s="38"/>
      <c r="E1852" s="39"/>
      <c r="F1852" s="39" t="s">
        <v>2262</v>
      </c>
      <c r="G1852" s="44">
        <v>0.1</v>
      </c>
      <c r="H1852" s="39" t="s">
        <v>101</v>
      </c>
      <c r="I1852" s="39" t="s">
        <v>102</v>
      </c>
      <c r="J1852" s="41">
        <v>4000</v>
      </c>
      <c r="K1852" s="42">
        <v>49.3</v>
      </c>
      <c r="L1852" s="43"/>
      <c r="M1852" s="43">
        <f>L1852*K1852</f>
        <v>0</v>
      </c>
      <c r="N1852" s="35">
        <v>4690368022231</v>
      </c>
    </row>
    <row r="1853" spans="1:14" ht="36" customHeight="1" outlineLevel="3" x14ac:dyDescent="0.2">
      <c r="A1853" s="55" t="s">
        <v>2263</v>
      </c>
      <c r="B1853" s="47" t="str">
        <f>HYPERLINK("http://sedek.ru/upload/iblock/9f1/tomat_idalgo_f1.jpg","фото")</f>
        <v>фото</v>
      </c>
      <c r="C1853" s="48"/>
      <c r="D1853" s="48"/>
      <c r="E1853" s="49"/>
      <c r="F1853" s="49" t="s">
        <v>2264</v>
      </c>
      <c r="G1853" s="58">
        <v>0.05</v>
      </c>
      <c r="H1853" s="49" t="s">
        <v>101</v>
      </c>
      <c r="I1853" s="49" t="s">
        <v>102</v>
      </c>
      <c r="J1853" s="51">
        <v>5000</v>
      </c>
      <c r="K1853" s="52">
        <v>23.9</v>
      </c>
      <c r="L1853" s="53"/>
      <c r="M1853" s="53">
        <f>L1853*K1853</f>
        <v>0</v>
      </c>
      <c r="N1853" s="35">
        <v>4607116260241</v>
      </c>
    </row>
    <row r="1854" spans="1:14" ht="24" customHeight="1" outlineLevel="3" x14ac:dyDescent="0.2">
      <c r="A1854" s="36" t="s">
        <v>2265</v>
      </c>
      <c r="B1854" s="37" t="str">
        <f>HYPERLINK("http://www.sedek.ru/upload/iblock/dd3/tomat_idalgo_sakharnyy_f1.jpg","Фото")</f>
        <v>Фото</v>
      </c>
      <c r="C1854" s="38"/>
      <c r="D1854" s="38"/>
      <c r="E1854" s="39"/>
      <c r="F1854" s="39" t="s">
        <v>2266</v>
      </c>
      <c r="G1854" s="54">
        <v>0.05</v>
      </c>
      <c r="H1854" s="39" t="s">
        <v>101</v>
      </c>
      <c r="I1854" s="39" t="s">
        <v>102</v>
      </c>
      <c r="J1854" s="41">
        <v>5000</v>
      </c>
      <c r="K1854" s="42">
        <v>39.299999999999997</v>
      </c>
      <c r="L1854" s="43"/>
      <c r="M1854" s="43">
        <f>L1854*K1854</f>
        <v>0</v>
      </c>
      <c r="N1854" s="35">
        <v>4690368028035</v>
      </c>
    </row>
    <row r="1855" spans="1:14" ht="36" customHeight="1" outlineLevel="3" x14ac:dyDescent="0.2">
      <c r="A1855" s="36" t="s">
        <v>2267</v>
      </c>
      <c r="B1855" s="37" t="str">
        <f>HYPERLINK("http://sedek.ru/upload/iblock/aa3/tomat_izumrudnoe_yabloko.jpg","фото")</f>
        <v>фото</v>
      </c>
      <c r="C1855" s="38"/>
      <c r="D1855" s="38" t="s">
        <v>266</v>
      </c>
      <c r="E1855" s="39"/>
      <c r="F1855" s="39" t="s">
        <v>2268</v>
      </c>
      <c r="G1855" s="44">
        <v>0.1</v>
      </c>
      <c r="H1855" s="39" t="s">
        <v>101</v>
      </c>
      <c r="I1855" s="39" t="s">
        <v>102</v>
      </c>
      <c r="J1855" s="41">
        <v>4000</v>
      </c>
      <c r="K1855" s="42">
        <v>20.5</v>
      </c>
      <c r="L1855" s="43"/>
      <c r="M1855" s="43">
        <f>L1855*K1855</f>
        <v>0</v>
      </c>
      <c r="N1855" s="35">
        <v>4690368028608</v>
      </c>
    </row>
    <row r="1856" spans="1:14" ht="24" customHeight="1" outlineLevel="3" x14ac:dyDescent="0.2">
      <c r="A1856" s="46">
        <v>15792</v>
      </c>
      <c r="B1856" s="47" t="str">
        <f>HYPERLINK("http://sedek.ru/upload/iblock/a40/tomat_izyum_f1.jpg","фото")</f>
        <v>фото</v>
      </c>
      <c r="C1856" s="48"/>
      <c r="D1856" s="48"/>
      <c r="E1856" s="49"/>
      <c r="F1856" s="49" t="s">
        <v>2269</v>
      </c>
      <c r="G1856" s="58">
        <v>0.05</v>
      </c>
      <c r="H1856" s="49" t="s">
        <v>101</v>
      </c>
      <c r="I1856" s="49" t="s">
        <v>102</v>
      </c>
      <c r="J1856" s="51">
        <v>5000</v>
      </c>
      <c r="K1856" s="52">
        <v>39.299999999999997</v>
      </c>
      <c r="L1856" s="53"/>
      <c r="M1856" s="53">
        <f>L1856*K1856</f>
        <v>0</v>
      </c>
      <c r="N1856" s="35">
        <v>4607149404995</v>
      </c>
    </row>
    <row r="1857" spans="1:14" ht="36" customHeight="1" outlineLevel="3" x14ac:dyDescent="0.2">
      <c r="A1857" s="45">
        <v>16431</v>
      </c>
      <c r="B1857" s="37" t="str">
        <f>HYPERLINK("http://www.sedek.ru/upload/iblock/509/tomat_imperator_f1.jpg","Фото")</f>
        <v>Фото</v>
      </c>
      <c r="C1857" s="38"/>
      <c r="D1857" s="38" t="s">
        <v>266</v>
      </c>
      <c r="E1857" s="39" t="s">
        <v>2270</v>
      </c>
      <c r="F1857" s="39" t="s">
        <v>2271</v>
      </c>
      <c r="G1857" s="54">
        <v>0.05</v>
      </c>
      <c r="H1857" s="39" t="s">
        <v>101</v>
      </c>
      <c r="I1857" s="39" t="s">
        <v>102</v>
      </c>
      <c r="J1857" s="41">
        <v>5000</v>
      </c>
      <c r="K1857" s="42">
        <v>44.3</v>
      </c>
      <c r="L1857" s="43"/>
      <c r="M1857" s="43">
        <f>L1857*K1857</f>
        <v>0</v>
      </c>
      <c r="N1857" s="35">
        <v>4690368028080</v>
      </c>
    </row>
    <row r="1858" spans="1:14" ht="36" customHeight="1" outlineLevel="3" x14ac:dyDescent="0.2">
      <c r="A1858" s="45">
        <v>15538</v>
      </c>
      <c r="B1858" s="37" t="str">
        <f>HYPERLINK("http://sedek.ru/upload/iblock/4f8/tomat_imperatritsa_f1.jpg","фото")</f>
        <v>фото</v>
      </c>
      <c r="C1858" s="38"/>
      <c r="D1858" s="38"/>
      <c r="E1858" s="39" t="s">
        <v>2270</v>
      </c>
      <c r="F1858" s="39" t="s">
        <v>2272</v>
      </c>
      <c r="G1858" s="54">
        <v>0.05</v>
      </c>
      <c r="H1858" s="39" t="s">
        <v>101</v>
      </c>
      <c r="I1858" s="39" t="s">
        <v>102</v>
      </c>
      <c r="J1858" s="41">
        <v>5000</v>
      </c>
      <c r="K1858" s="42">
        <v>44.3</v>
      </c>
      <c r="L1858" s="43"/>
      <c r="M1858" s="43">
        <f>L1858*K1858</f>
        <v>0</v>
      </c>
      <c r="N1858" s="35">
        <v>4690368012973</v>
      </c>
    </row>
    <row r="1859" spans="1:14" ht="24" customHeight="1" outlineLevel="3" x14ac:dyDescent="0.2">
      <c r="A1859" s="45">
        <v>15537</v>
      </c>
      <c r="B1859" s="37" t="str">
        <f>HYPERLINK("http://sedek.ru/upload/iblock/ecb/tomat_imperiya_f1.jpg","фото")</f>
        <v>фото</v>
      </c>
      <c r="C1859" s="38"/>
      <c r="D1859" s="38"/>
      <c r="E1859" s="39" t="s">
        <v>2270</v>
      </c>
      <c r="F1859" s="39" t="s">
        <v>2273</v>
      </c>
      <c r="G1859" s="54">
        <v>0.05</v>
      </c>
      <c r="H1859" s="39" t="s">
        <v>101</v>
      </c>
      <c r="I1859" s="39" t="s">
        <v>102</v>
      </c>
      <c r="J1859" s="41">
        <v>5000</v>
      </c>
      <c r="K1859" s="42">
        <v>44.3</v>
      </c>
      <c r="L1859" s="43"/>
      <c r="M1859" s="43">
        <f>L1859*K1859</f>
        <v>0</v>
      </c>
      <c r="N1859" s="35">
        <v>4690368012980</v>
      </c>
    </row>
    <row r="1860" spans="1:14" ht="36" customHeight="1" outlineLevel="3" x14ac:dyDescent="0.2">
      <c r="A1860" s="36" t="s">
        <v>2274</v>
      </c>
      <c r="B1860" s="37" t="str">
        <f>HYPERLINK("http://www.sedek.ru/upload/iblock/78b/tomat_imperiya_rozovaya_f1.jpg","фото")</f>
        <v>фото</v>
      </c>
      <c r="C1860" s="38"/>
      <c r="D1860" s="38"/>
      <c r="E1860" s="39" t="s">
        <v>2270</v>
      </c>
      <c r="F1860" s="39" t="s">
        <v>2275</v>
      </c>
      <c r="G1860" s="54">
        <v>0.05</v>
      </c>
      <c r="H1860" s="39" t="s">
        <v>101</v>
      </c>
      <c r="I1860" s="39" t="s">
        <v>102</v>
      </c>
      <c r="J1860" s="41">
        <v>5000</v>
      </c>
      <c r="K1860" s="42">
        <v>50.5</v>
      </c>
      <c r="L1860" s="43"/>
      <c r="M1860" s="43">
        <f>L1860*K1860</f>
        <v>0</v>
      </c>
      <c r="N1860" s="35">
        <v>4690368032742</v>
      </c>
    </row>
    <row r="1861" spans="1:14" ht="36" customHeight="1" outlineLevel="3" x14ac:dyDescent="0.2">
      <c r="A1861" s="45">
        <v>15392</v>
      </c>
      <c r="B1861" s="37" t="str">
        <f>HYPERLINK("http://sedek.ru/upload/iblock/e29/tomat_irina_f1.jpg","фото")</f>
        <v>фото</v>
      </c>
      <c r="C1861" s="38"/>
      <c r="D1861" s="38"/>
      <c r="E1861" s="39"/>
      <c r="F1861" s="39" t="s">
        <v>2276</v>
      </c>
      <c r="G1861" s="54">
        <v>0.05</v>
      </c>
      <c r="H1861" s="39" t="s">
        <v>101</v>
      </c>
      <c r="I1861" s="39" t="s">
        <v>102</v>
      </c>
      <c r="J1861" s="41">
        <v>5000</v>
      </c>
      <c r="K1861" s="42">
        <v>16.399999999999999</v>
      </c>
      <c r="L1861" s="43"/>
      <c r="M1861" s="43">
        <f>L1861*K1861</f>
        <v>0</v>
      </c>
      <c r="N1861" s="35">
        <v>4607149406371</v>
      </c>
    </row>
    <row r="1862" spans="1:14" ht="36" customHeight="1" outlineLevel="3" x14ac:dyDescent="0.2">
      <c r="A1862" s="45">
        <v>15245</v>
      </c>
      <c r="B1862" s="37" t="str">
        <f>HYPERLINK("http://sedek.ru/upload/iblock/65c/tomat_irina_sedek.jpg","фото")</f>
        <v>фото</v>
      </c>
      <c r="C1862" s="38"/>
      <c r="D1862" s="38"/>
      <c r="E1862" s="39" t="s">
        <v>2090</v>
      </c>
      <c r="F1862" s="39" t="s">
        <v>2277</v>
      </c>
      <c r="G1862" s="44">
        <v>0.1</v>
      </c>
      <c r="H1862" s="39" t="s">
        <v>101</v>
      </c>
      <c r="I1862" s="39" t="s">
        <v>102</v>
      </c>
      <c r="J1862" s="41">
        <v>4000</v>
      </c>
      <c r="K1862" s="42">
        <v>21.9</v>
      </c>
      <c r="L1862" s="43"/>
      <c r="M1862" s="43">
        <f>L1862*K1862</f>
        <v>0</v>
      </c>
      <c r="N1862" s="35">
        <v>4607015185362</v>
      </c>
    </row>
    <row r="1863" spans="1:14" ht="36" customHeight="1" outlineLevel="3" x14ac:dyDescent="0.2">
      <c r="A1863" s="45">
        <v>15245</v>
      </c>
      <c r="B1863" s="37" t="str">
        <f>HYPERLINK("http://sedek.ru/upload/iblock/65c/tomat_irina_sedek.jpg","фото")</f>
        <v>фото</v>
      </c>
      <c r="C1863" s="38"/>
      <c r="D1863" s="38"/>
      <c r="E1863" s="39" t="s">
        <v>2090</v>
      </c>
      <c r="F1863" s="39" t="s">
        <v>2278</v>
      </c>
      <c r="G1863" s="44">
        <v>0.1</v>
      </c>
      <c r="H1863" s="39" t="s">
        <v>101</v>
      </c>
      <c r="I1863" s="39" t="s">
        <v>287</v>
      </c>
      <c r="J1863" s="41">
        <v>4000</v>
      </c>
      <c r="K1863" s="42">
        <v>12.2</v>
      </c>
      <c r="L1863" s="43"/>
      <c r="M1863" s="43">
        <f>L1863*K1863</f>
        <v>0</v>
      </c>
      <c r="N1863" s="35">
        <v>4607149408542</v>
      </c>
    </row>
    <row r="1864" spans="1:14" ht="36" customHeight="1" outlineLevel="3" x14ac:dyDescent="0.2">
      <c r="A1864" s="36" t="s">
        <v>2279</v>
      </c>
      <c r="B1864" s="37" t="str">
        <f>HYPERLINK("http://sedek.ru/upload/iblock/65c/tomat_irina_sedek.jpg","фото")</f>
        <v>фото</v>
      </c>
      <c r="C1864" s="38"/>
      <c r="D1864" s="38"/>
      <c r="E1864" s="39" t="s">
        <v>2090</v>
      </c>
      <c r="F1864" s="39" t="s">
        <v>2277</v>
      </c>
      <c r="G1864" s="44">
        <v>0.1</v>
      </c>
      <c r="H1864" s="39"/>
      <c r="I1864" s="39" t="s">
        <v>102</v>
      </c>
      <c r="J1864" s="41">
        <v>4000</v>
      </c>
      <c r="K1864" s="42">
        <v>21.9</v>
      </c>
      <c r="L1864" s="43"/>
      <c r="M1864" s="43">
        <f>L1864*K1864</f>
        <v>0</v>
      </c>
      <c r="N1864" s="35">
        <v>4607015185362</v>
      </c>
    </row>
    <row r="1865" spans="1:14" ht="24" customHeight="1" outlineLevel="3" x14ac:dyDescent="0.2">
      <c r="A1865" s="45">
        <v>15677</v>
      </c>
      <c r="B1865" s="37" t="str">
        <f>HYPERLINK("http://sedek.ru/upload/iblock/0b1/tomat_irishka_f1.jpg","фото")</f>
        <v>фото</v>
      </c>
      <c r="C1865" s="38"/>
      <c r="D1865" s="38" t="s">
        <v>266</v>
      </c>
      <c r="E1865" s="39"/>
      <c r="F1865" s="39" t="s">
        <v>2280</v>
      </c>
      <c r="G1865" s="54">
        <v>0.05</v>
      </c>
      <c r="H1865" s="39" t="s">
        <v>101</v>
      </c>
      <c r="I1865" s="39" t="s">
        <v>102</v>
      </c>
      <c r="J1865" s="41">
        <v>5000</v>
      </c>
      <c r="K1865" s="42">
        <v>30.3</v>
      </c>
      <c r="L1865" s="43"/>
      <c r="M1865" s="43">
        <f>L1865*K1865</f>
        <v>0</v>
      </c>
      <c r="N1865" s="35">
        <v>4690368008099</v>
      </c>
    </row>
    <row r="1866" spans="1:14" ht="36" customHeight="1" outlineLevel="3" x14ac:dyDescent="0.2">
      <c r="A1866" s="45">
        <v>13579</v>
      </c>
      <c r="B1866" s="37" t="str">
        <f>HYPERLINK("http://sedek.ru/upload/iblock/a34/tomat_iyunskiy.jpg","фото")</f>
        <v>фото</v>
      </c>
      <c r="C1866" s="38"/>
      <c r="D1866" s="38"/>
      <c r="E1866" s="39"/>
      <c r="F1866" s="39" t="s">
        <v>2281</v>
      </c>
      <c r="G1866" s="44">
        <v>0.2</v>
      </c>
      <c r="H1866" s="39" t="s">
        <v>101</v>
      </c>
      <c r="I1866" s="39" t="s">
        <v>102</v>
      </c>
      <c r="J1866" s="41">
        <v>3000</v>
      </c>
      <c r="K1866" s="42">
        <v>20.5</v>
      </c>
      <c r="L1866" s="43"/>
      <c r="M1866" s="43">
        <f>L1866*K1866</f>
        <v>0</v>
      </c>
      <c r="N1866" s="35">
        <v>4607116260302</v>
      </c>
    </row>
    <row r="1867" spans="1:14" ht="24" customHeight="1" outlineLevel="3" x14ac:dyDescent="0.2">
      <c r="A1867" s="45">
        <v>13579</v>
      </c>
      <c r="B1867" s="37" t="str">
        <f>HYPERLINK("http://sedek.ru/upload/iblock/a34/tomat_iyunskiy.jpg","фото")</f>
        <v>фото</v>
      </c>
      <c r="C1867" s="38"/>
      <c r="D1867" s="38"/>
      <c r="E1867" s="39"/>
      <c r="F1867" s="39" t="s">
        <v>2282</v>
      </c>
      <c r="G1867" s="44">
        <v>0.2</v>
      </c>
      <c r="H1867" s="39" t="s">
        <v>101</v>
      </c>
      <c r="I1867" s="39" t="s">
        <v>287</v>
      </c>
      <c r="J1867" s="41">
        <v>3000</v>
      </c>
      <c r="K1867" s="42">
        <v>7.8</v>
      </c>
      <c r="L1867" s="43"/>
      <c r="M1867" s="43">
        <f>L1867*K1867</f>
        <v>0</v>
      </c>
      <c r="N1867" s="35">
        <v>4690368012539</v>
      </c>
    </row>
    <row r="1868" spans="1:14" ht="36" customHeight="1" outlineLevel="3" x14ac:dyDescent="0.2">
      <c r="A1868" s="45">
        <v>15989</v>
      </c>
      <c r="B1868" s="37" t="str">
        <f>HYPERLINK("http://www.sedek.ru/upload/iblock/a77/tomat_karamel_zheltaya_f1.jpg","фото")</f>
        <v>фото</v>
      </c>
      <c r="C1868" s="38"/>
      <c r="D1868" s="38"/>
      <c r="E1868" s="39" t="s">
        <v>2173</v>
      </c>
      <c r="F1868" s="39" t="s">
        <v>2283</v>
      </c>
      <c r="G1868" s="44">
        <v>0.1</v>
      </c>
      <c r="H1868" s="39" t="s">
        <v>101</v>
      </c>
      <c r="I1868" s="39" t="s">
        <v>102</v>
      </c>
      <c r="J1868" s="41">
        <v>4000</v>
      </c>
      <c r="K1868" s="42">
        <v>25.3</v>
      </c>
      <c r="L1868" s="43"/>
      <c r="M1868" s="43">
        <f>L1868*K1868</f>
        <v>0</v>
      </c>
      <c r="N1868" s="35">
        <v>4607116260333</v>
      </c>
    </row>
    <row r="1869" spans="1:14" ht="36" customHeight="1" outlineLevel="3" x14ac:dyDescent="0.2">
      <c r="A1869" s="45">
        <v>15989</v>
      </c>
      <c r="B1869" s="37" t="str">
        <f>HYPERLINK("http://www.sedek.ru/upload/iblock/a77/tomat_karamel_zheltaya_f1.jpg","фото")</f>
        <v>фото</v>
      </c>
      <c r="C1869" s="38"/>
      <c r="D1869" s="38"/>
      <c r="E1869" s="39" t="s">
        <v>2173</v>
      </c>
      <c r="F1869" s="39" t="s">
        <v>2284</v>
      </c>
      <c r="G1869" s="44">
        <v>0.1</v>
      </c>
      <c r="H1869" s="39" t="s">
        <v>101</v>
      </c>
      <c r="I1869" s="39" t="s">
        <v>287</v>
      </c>
      <c r="J1869" s="41">
        <v>4000</v>
      </c>
      <c r="K1869" s="42">
        <v>9.4</v>
      </c>
      <c r="L1869" s="43"/>
      <c r="M1869" s="43">
        <f>L1869*K1869</f>
        <v>0</v>
      </c>
      <c r="N1869" s="35">
        <v>4690368012546</v>
      </c>
    </row>
    <row r="1870" spans="1:14" ht="36" customHeight="1" outlineLevel="3" x14ac:dyDescent="0.2">
      <c r="A1870" s="45">
        <v>15386</v>
      </c>
      <c r="B1870" s="37" t="str">
        <f>HYPERLINK("http://www.sedek.ru/upload/iblock/2fd/tomat_karamel_krasnaya_f1.jpg","фото")</f>
        <v>фото</v>
      </c>
      <c r="C1870" s="38"/>
      <c r="D1870" s="38"/>
      <c r="E1870" s="39" t="s">
        <v>2173</v>
      </c>
      <c r="F1870" s="39" t="s">
        <v>2285</v>
      </c>
      <c r="G1870" s="44">
        <v>0.1</v>
      </c>
      <c r="H1870" s="39" t="s">
        <v>101</v>
      </c>
      <c r="I1870" s="39" t="s">
        <v>102</v>
      </c>
      <c r="J1870" s="41">
        <v>4000</v>
      </c>
      <c r="K1870" s="42">
        <v>25.3</v>
      </c>
      <c r="L1870" s="43"/>
      <c r="M1870" s="43">
        <f>L1870*K1870</f>
        <v>0</v>
      </c>
      <c r="N1870" s="35">
        <v>4607116260340</v>
      </c>
    </row>
    <row r="1871" spans="1:14" ht="36" customHeight="1" outlineLevel="3" x14ac:dyDescent="0.2">
      <c r="A1871" s="45">
        <v>15386</v>
      </c>
      <c r="B1871" s="37" t="str">
        <f>HYPERLINK("http://www.sedek.ru/upload/iblock/2fd/tomat_karamel_krasnaya_f1.jpg","фото")</f>
        <v>фото</v>
      </c>
      <c r="C1871" s="38"/>
      <c r="D1871" s="38"/>
      <c r="E1871" s="39" t="s">
        <v>2173</v>
      </c>
      <c r="F1871" s="39" t="s">
        <v>2286</v>
      </c>
      <c r="G1871" s="44">
        <v>0.1</v>
      </c>
      <c r="H1871" s="39" t="s">
        <v>101</v>
      </c>
      <c r="I1871" s="39" t="s">
        <v>287</v>
      </c>
      <c r="J1871" s="41">
        <v>4000</v>
      </c>
      <c r="K1871" s="42">
        <v>9.4</v>
      </c>
      <c r="L1871" s="43"/>
      <c r="M1871" s="43">
        <f>L1871*K1871</f>
        <v>0</v>
      </c>
      <c r="N1871" s="35">
        <v>4690368005456</v>
      </c>
    </row>
    <row r="1872" spans="1:14" ht="36" customHeight="1" outlineLevel="3" x14ac:dyDescent="0.2">
      <c r="A1872" s="36" t="s">
        <v>2287</v>
      </c>
      <c r="B1872" s="37" t="str">
        <f>HYPERLINK("http://www.sedek.ru/upload/iblock/a8f/tomat_f1_karamel_medovaya.jpg","Фото")</f>
        <v>Фото</v>
      </c>
      <c r="C1872" s="38"/>
      <c r="D1872" s="38"/>
      <c r="E1872" s="39" t="s">
        <v>2173</v>
      </c>
      <c r="F1872" s="39" t="s">
        <v>2288</v>
      </c>
      <c r="G1872" s="54">
        <v>0.05</v>
      </c>
      <c r="H1872" s="39" t="s">
        <v>101</v>
      </c>
      <c r="I1872" s="39" t="s">
        <v>102</v>
      </c>
      <c r="J1872" s="41">
        <v>5000</v>
      </c>
      <c r="K1872" s="42">
        <v>47.3</v>
      </c>
      <c r="L1872" s="43"/>
      <c r="M1872" s="43">
        <f>L1872*K1872</f>
        <v>0</v>
      </c>
      <c r="N1872" s="35">
        <v>4690368030908</v>
      </c>
    </row>
    <row r="1873" spans="1:14" ht="36" customHeight="1" outlineLevel="3" x14ac:dyDescent="0.2">
      <c r="A1873" s="36" t="s">
        <v>2289</v>
      </c>
      <c r="B1873" s="37" t="str">
        <f>HYPERLINK("http://www.sedek.ru/upload/iblock/d1b/tomat_f1_karamel_oranzhevaya.jpg","Фото")</f>
        <v>Фото</v>
      </c>
      <c r="C1873" s="38"/>
      <c r="D1873" s="38" t="s">
        <v>266</v>
      </c>
      <c r="E1873" s="39" t="s">
        <v>2173</v>
      </c>
      <c r="F1873" s="39" t="s">
        <v>2290</v>
      </c>
      <c r="G1873" s="54">
        <v>0.05</v>
      </c>
      <c r="H1873" s="39" t="s">
        <v>101</v>
      </c>
      <c r="I1873" s="39" t="s">
        <v>102</v>
      </c>
      <c r="J1873" s="41">
        <v>5000</v>
      </c>
      <c r="K1873" s="42">
        <v>41.1</v>
      </c>
      <c r="L1873" s="43"/>
      <c r="M1873" s="43">
        <f>L1873*K1873</f>
        <v>0</v>
      </c>
      <c r="N1873" s="35">
        <v>4690368030915</v>
      </c>
    </row>
    <row r="1874" spans="1:14" ht="36" customHeight="1" outlineLevel="3" x14ac:dyDescent="0.2">
      <c r="A1874" s="36" t="s">
        <v>2291</v>
      </c>
      <c r="B1874" s="37" t="str">
        <f>HYPERLINK("http://sedek.ru/upload/iblock/a14/tomat_kaspar_f1.jpg","фото")</f>
        <v>фото</v>
      </c>
      <c r="C1874" s="38"/>
      <c r="D1874" s="38"/>
      <c r="E1874" s="39"/>
      <c r="F1874" s="39" t="s">
        <v>2292</v>
      </c>
      <c r="G1874" s="54">
        <v>0.05</v>
      </c>
      <c r="H1874" s="39" t="s">
        <v>101</v>
      </c>
      <c r="I1874" s="39" t="s">
        <v>102</v>
      </c>
      <c r="J1874" s="41">
        <v>5000</v>
      </c>
      <c r="K1874" s="42">
        <v>30.9</v>
      </c>
      <c r="L1874" s="43"/>
      <c r="M1874" s="43">
        <f>L1874*K1874</f>
        <v>0</v>
      </c>
      <c r="N1874" s="35">
        <v>4607116260357</v>
      </c>
    </row>
    <row r="1875" spans="1:14" ht="36" customHeight="1" outlineLevel="3" x14ac:dyDescent="0.2">
      <c r="A1875" s="36" t="s">
        <v>2293</v>
      </c>
      <c r="B1875" s="37" t="str">
        <f>HYPERLINK("http://sedek.ru/upload/iblock/a32/tomat_kaspar_2_f1.jpg","фото")</f>
        <v>фото</v>
      </c>
      <c r="C1875" s="38"/>
      <c r="D1875" s="38"/>
      <c r="E1875" s="39"/>
      <c r="F1875" s="39" t="s">
        <v>2294</v>
      </c>
      <c r="G1875" s="54">
        <v>0.05</v>
      </c>
      <c r="H1875" s="39" t="s">
        <v>101</v>
      </c>
      <c r="I1875" s="39" t="s">
        <v>102</v>
      </c>
      <c r="J1875" s="41">
        <v>5000</v>
      </c>
      <c r="K1875" s="42">
        <v>25.1</v>
      </c>
      <c r="L1875" s="43"/>
      <c r="M1875" s="43">
        <f>L1875*K1875</f>
        <v>0</v>
      </c>
      <c r="N1875" s="35">
        <v>4690368028127</v>
      </c>
    </row>
    <row r="1876" spans="1:14" ht="36" customHeight="1" outlineLevel="3" x14ac:dyDescent="0.2">
      <c r="A1876" s="36" t="s">
        <v>2295</v>
      </c>
      <c r="B1876" s="37" t="str">
        <f>HYPERLINK("http://www.sedek.ru/upload/iblock/08d/tomat_kaspar_polosatyy.jpg","фото")</f>
        <v>фото</v>
      </c>
      <c r="C1876" s="38"/>
      <c r="D1876" s="38"/>
      <c r="E1876" s="39"/>
      <c r="F1876" s="39" t="s">
        <v>2296</v>
      </c>
      <c r="G1876" s="44">
        <v>0.1</v>
      </c>
      <c r="H1876" s="39" t="s">
        <v>101</v>
      </c>
      <c r="I1876" s="39" t="s">
        <v>102</v>
      </c>
      <c r="J1876" s="41">
        <v>5000</v>
      </c>
      <c r="K1876" s="42">
        <v>37.299999999999997</v>
      </c>
      <c r="L1876" s="43"/>
      <c r="M1876" s="43">
        <f>L1876*K1876</f>
        <v>0</v>
      </c>
      <c r="N1876" s="35">
        <v>4690368032735</v>
      </c>
    </row>
    <row r="1877" spans="1:14" ht="24" customHeight="1" outlineLevel="3" x14ac:dyDescent="0.2">
      <c r="A1877" s="46">
        <v>14132</v>
      </c>
      <c r="B1877" s="47" t="str">
        <f>HYPERLINK("http://www.sedek.ru/upload/iblock/610/tomat_katenka_f1.jpg","фото")</f>
        <v>фото</v>
      </c>
      <c r="C1877" s="48"/>
      <c r="D1877" s="48"/>
      <c r="E1877" s="49"/>
      <c r="F1877" s="49" t="s">
        <v>2297</v>
      </c>
      <c r="G1877" s="58">
        <v>0.05</v>
      </c>
      <c r="H1877" s="49" t="s">
        <v>101</v>
      </c>
      <c r="I1877" s="49" t="s">
        <v>102</v>
      </c>
      <c r="J1877" s="51">
        <v>5000</v>
      </c>
      <c r="K1877" s="52">
        <v>35.4</v>
      </c>
      <c r="L1877" s="53"/>
      <c r="M1877" s="53">
        <f>L1877*K1877</f>
        <v>0</v>
      </c>
      <c r="N1877" s="35">
        <v>4690368007696</v>
      </c>
    </row>
    <row r="1878" spans="1:14" ht="24" customHeight="1" outlineLevel="3" x14ac:dyDescent="0.2">
      <c r="A1878" s="46">
        <v>14260</v>
      </c>
      <c r="B1878" s="47" t="str">
        <f>HYPERLINK("http://sedek.ru/upload/iblock/27d/tomat_kitayskiy_ranniy.jpg","фото")</f>
        <v>фото</v>
      </c>
      <c r="C1878" s="48"/>
      <c r="D1878" s="48"/>
      <c r="E1878" s="49"/>
      <c r="F1878" s="49" t="s">
        <v>2298</v>
      </c>
      <c r="G1878" s="56">
        <v>0.2</v>
      </c>
      <c r="H1878" s="49" t="s">
        <v>101</v>
      </c>
      <c r="I1878" s="49" t="s">
        <v>102</v>
      </c>
      <c r="J1878" s="51">
        <v>3000</v>
      </c>
      <c r="K1878" s="52">
        <v>18.5</v>
      </c>
      <c r="L1878" s="53"/>
      <c r="M1878" s="53">
        <f>L1878*K1878</f>
        <v>0</v>
      </c>
      <c r="N1878" s="35">
        <v>4607116260371</v>
      </c>
    </row>
    <row r="1879" spans="1:14" ht="36" customHeight="1" outlineLevel="3" x14ac:dyDescent="0.2">
      <c r="A1879" s="45">
        <v>13747</v>
      </c>
      <c r="B1879" s="37" t="str">
        <f>HYPERLINK("http://sedek.ru/upload/iblock/e73/tomat_kitayskiy_rozovyy.jpg","фото")</f>
        <v>фото</v>
      </c>
      <c r="C1879" s="38"/>
      <c r="D1879" s="38"/>
      <c r="E1879" s="39"/>
      <c r="F1879" s="39" t="s">
        <v>2299</v>
      </c>
      <c r="G1879" s="44">
        <v>0.1</v>
      </c>
      <c r="H1879" s="39" t="s">
        <v>101</v>
      </c>
      <c r="I1879" s="39" t="s">
        <v>102</v>
      </c>
      <c r="J1879" s="41">
        <v>4000</v>
      </c>
      <c r="K1879" s="42">
        <v>24.2</v>
      </c>
      <c r="L1879" s="43"/>
      <c r="M1879" s="43">
        <f>L1879*K1879</f>
        <v>0</v>
      </c>
      <c r="N1879" s="35">
        <v>4607116260388</v>
      </c>
    </row>
    <row r="1880" spans="1:14" ht="24" customHeight="1" outlineLevel="3" x14ac:dyDescent="0.2">
      <c r="A1880" s="36" t="s">
        <v>2300</v>
      </c>
      <c r="B1880" s="37" t="str">
        <f>HYPERLINK("http://sedek.ru/upload/iblock/593/tomat_knyaz_f1.jpg","фото")</f>
        <v>фото</v>
      </c>
      <c r="C1880" s="38"/>
      <c r="D1880" s="38"/>
      <c r="E1880" s="39"/>
      <c r="F1880" s="39" t="s">
        <v>2301</v>
      </c>
      <c r="G1880" s="54">
        <v>0.03</v>
      </c>
      <c r="H1880" s="39" t="s">
        <v>101</v>
      </c>
      <c r="I1880" s="39" t="s">
        <v>102</v>
      </c>
      <c r="J1880" s="41">
        <v>5000</v>
      </c>
      <c r="K1880" s="42">
        <v>44.7</v>
      </c>
      <c r="L1880" s="43"/>
      <c r="M1880" s="43">
        <f>L1880*K1880</f>
        <v>0</v>
      </c>
      <c r="N1880" s="35">
        <v>4690368008181</v>
      </c>
    </row>
    <row r="1881" spans="1:14" ht="36" customHeight="1" outlineLevel="3" x14ac:dyDescent="0.2">
      <c r="A1881" s="45">
        <v>14392</v>
      </c>
      <c r="B1881" s="37" t="str">
        <f>HYPERLINK("http://sedek.ru/upload/iblock/0b3/tomat_kolokola_rossii.jpg","фото")</f>
        <v>фото</v>
      </c>
      <c r="C1881" s="38"/>
      <c r="D1881" s="38"/>
      <c r="E1881" s="39"/>
      <c r="F1881" s="39" t="s">
        <v>2302</v>
      </c>
      <c r="G1881" s="44">
        <v>0.1</v>
      </c>
      <c r="H1881" s="39" t="s">
        <v>101</v>
      </c>
      <c r="I1881" s="39" t="s">
        <v>102</v>
      </c>
      <c r="J1881" s="41">
        <v>4000</v>
      </c>
      <c r="K1881" s="42">
        <v>21.6</v>
      </c>
      <c r="L1881" s="43"/>
      <c r="M1881" s="43">
        <f>L1881*K1881</f>
        <v>0</v>
      </c>
      <c r="N1881" s="35">
        <v>4607116260395</v>
      </c>
    </row>
    <row r="1882" spans="1:14" ht="36" customHeight="1" outlineLevel="3" x14ac:dyDescent="0.2">
      <c r="A1882" s="36" t="s">
        <v>2303</v>
      </c>
      <c r="B1882" s="37" t="str">
        <f>HYPERLINK("http://www.sedek.ru/upload/iblock/5d3/hywrnz140rgwxe7evmn9n6xor01mgwrr/tomat_korolevna.jpg","фото")</f>
        <v>фото</v>
      </c>
      <c r="C1882" s="38" t="s">
        <v>266</v>
      </c>
      <c r="D1882" s="38"/>
      <c r="E1882" s="39"/>
      <c r="F1882" s="39" t="s">
        <v>2304</v>
      </c>
      <c r="G1882" s="44">
        <v>0.1</v>
      </c>
      <c r="H1882" s="39"/>
      <c r="I1882" s="39" t="s">
        <v>102</v>
      </c>
      <c r="J1882" s="41">
        <v>5000</v>
      </c>
      <c r="K1882" s="42">
        <v>33.799999999999997</v>
      </c>
      <c r="L1882" s="43"/>
      <c r="M1882" s="43">
        <f>L1882*K1882</f>
        <v>0</v>
      </c>
      <c r="N1882" s="35">
        <v>4690368041157</v>
      </c>
    </row>
    <row r="1883" spans="1:14" ht="24" customHeight="1" outlineLevel="3" x14ac:dyDescent="0.2">
      <c r="A1883" s="36" t="s">
        <v>2305</v>
      </c>
      <c r="B1883" s="37" t="str">
        <f>HYPERLINK("http://www.sedek.ru/upload/iblock/822/tomat_korolevskie_palchiki_f1.png","фото")</f>
        <v>фото</v>
      </c>
      <c r="C1883" s="38"/>
      <c r="D1883" s="38"/>
      <c r="E1883" s="39"/>
      <c r="F1883" s="39" t="s">
        <v>2306</v>
      </c>
      <c r="G1883" s="44">
        <v>0.1</v>
      </c>
      <c r="H1883" s="39" t="s">
        <v>101</v>
      </c>
      <c r="I1883" s="39" t="s">
        <v>102</v>
      </c>
      <c r="J1883" s="41">
        <v>4000</v>
      </c>
      <c r="K1883" s="42">
        <v>23.9</v>
      </c>
      <c r="L1883" s="43"/>
      <c r="M1883" s="43">
        <f>L1883*K1883</f>
        <v>0</v>
      </c>
      <c r="N1883" s="35">
        <v>4690368033893</v>
      </c>
    </row>
    <row r="1884" spans="1:14" ht="36" customHeight="1" outlineLevel="3" x14ac:dyDescent="0.2">
      <c r="A1884" s="36" t="s">
        <v>2307</v>
      </c>
      <c r="B1884" s="37" t="str">
        <f>HYPERLINK("http://www.sedek.ru/upload/iblock/39e/tomat_korol_krupnykh.jpg","фото")</f>
        <v>фото</v>
      </c>
      <c r="C1884" s="38"/>
      <c r="D1884" s="38"/>
      <c r="E1884" s="39"/>
      <c r="F1884" s="39" t="s">
        <v>2308</v>
      </c>
      <c r="G1884" s="44">
        <v>0.1</v>
      </c>
      <c r="H1884" s="39" t="s">
        <v>101</v>
      </c>
      <c r="I1884" s="39" t="s">
        <v>102</v>
      </c>
      <c r="J1884" s="41">
        <v>4000</v>
      </c>
      <c r="K1884" s="42">
        <v>20.5</v>
      </c>
      <c r="L1884" s="43"/>
      <c r="M1884" s="43">
        <f>L1884*K1884</f>
        <v>0</v>
      </c>
      <c r="N1884" s="35">
        <v>4690368030601</v>
      </c>
    </row>
    <row r="1885" spans="1:14" ht="24" customHeight="1" outlineLevel="3" x14ac:dyDescent="0.2">
      <c r="A1885" s="45">
        <v>14054</v>
      </c>
      <c r="B1885" s="37" t="str">
        <f>HYPERLINK("http://sedek.ru/upload/iblock/031/tomat_kosmonavt_volkov.jpg","фото")</f>
        <v>фото</v>
      </c>
      <c r="C1885" s="38"/>
      <c r="D1885" s="38"/>
      <c r="E1885" s="39"/>
      <c r="F1885" s="39" t="s">
        <v>2309</v>
      </c>
      <c r="G1885" s="44">
        <v>0.1</v>
      </c>
      <c r="H1885" s="39" t="s">
        <v>101</v>
      </c>
      <c r="I1885" s="39" t="s">
        <v>102</v>
      </c>
      <c r="J1885" s="41">
        <v>4000</v>
      </c>
      <c r="K1885" s="42">
        <v>20</v>
      </c>
      <c r="L1885" s="43"/>
      <c r="M1885" s="43">
        <f>L1885*K1885</f>
        <v>0</v>
      </c>
      <c r="N1885" s="35">
        <v>4607116260463</v>
      </c>
    </row>
    <row r="1886" spans="1:14" ht="36" customHeight="1" outlineLevel="3" x14ac:dyDescent="0.2">
      <c r="A1886" s="45">
        <v>13732</v>
      </c>
      <c r="B1886" s="37" t="str">
        <f>HYPERLINK("http://sedek.ru/upload/iblock/9da/tomat_krayniy_sever_sedek.jpg","фото")</f>
        <v>фото</v>
      </c>
      <c r="C1886" s="38"/>
      <c r="D1886" s="38"/>
      <c r="E1886" s="39" t="s">
        <v>2090</v>
      </c>
      <c r="F1886" s="39" t="s">
        <v>2310</v>
      </c>
      <c r="G1886" s="44">
        <v>0.1</v>
      </c>
      <c r="H1886" s="39" t="s">
        <v>101</v>
      </c>
      <c r="I1886" s="39" t="s">
        <v>102</v>
      </c>
      <c r="J1886" s="41">
        <v>4000</v>
      </c>
      <c r="K1886" s="42">
        <v>20</v>
      </c>
      <c r="L1886" s="43"/>
      <c r="M1886" s="43">
        <f>L1886*K1886</f>
        <v>0</v>
      </c>
      <c r="N1886" s="35">
        <v>4607116260470</v>
      </c>
    </row>
    <row r="1887" spans="1:14" ht="24" customHeight="1" outlineLevel="3" x14ac:dyDescent="0.2">
      <c r="A1887" s="45">
        <v>15812</v>
      </c>
      <c r="B1887" s="37" t="str">
        <f>HYPERLINK("http://sedek.ru/upload/iblock/440/tomat_krasa_gryadki.jpg","фото")</f>
        <v>фото</v>
      </c>
      <c r="C1887" s="38"/>
      <c r="D1887" s="38" t="s">
        <v>266</v>
      </c>
      <c r="E1887" s="39"/>
      <c r="F1887" s="39" t="s">
        <v>2311</v>
      </c>
      <c r="G1887" s="44">
        <v>0.1</v>
      </c>
      <c r="H1887" s="39" t="s">
        <v>101</v>
      </c>
      <c r="I1887" s="39" t="s">
        <v>102</v>
      </c>
      <c r="J1887" s="41">
        <v>4000</v>
      </c>
      <c r="K1887" s="42">
        <v>19.5</v>
      </c>
      <c r="L1887" s="43"/>
      <c r="M1887" s="43">
        <f>L1887*K1887</f>
        <v>0</v>
      </c>
      <c r="N1887" s="35">
        <v>4690368009829</v>
      </c>
    </row>
    <row r="1888" spans="1:14" ht="24" customHeight="1" outlineLevel="3" x14ac:dyDescent="0.2">
      <c r="A1888" s="45">
        <v>13535</v>
      </c>
      <c r="B1888" s="37" t="str">
        <f>HYPERLINK("http://sedek.ru/upload/iblock/6e2/tomat_krasavets_myasistyy.jpg","фото")</f>
        <v>фото</v>
      </c>
      <c r="C1888" s="38"/>
      <c r="D1888" s="38" t="s">
        <v>266</v>
      </c>
      <c r="E1888" s="39"/>
      <c r="F1888" s="39" t="s">
        <v>2312</v>
      </c>
      <c r="G1888" s="44">
        <v>0.1</v>
      </c>
      <c r="H1888" s="39" t="s">
        <v>101</v>
      </c>
      <c r="I1888" s="39" t="s">
        <v>102</v>
      </c>
      <c r="J1888" s="41">
        <v>4000</v>
      </c>
      <c r="K1888" s="42">
        <v>19.5</v>
      </c>
      <c r="L1888" s="43"/>
      <c r="M1888" s="43">
        <f>L1888*K1888</f>
        <v>0</v>
      </c>
      <c r="N1888" s="35">
        <v>4690368005968</v>
      </c>
    </row>
    <row r="1889" spans="1:14" ht="36" customHeight="1" outlineLevel="3" x14ac:dyDescent="0.2">
      <c r="A1889" s="45">
        <v>15813</v>
      </c>
      <c r="B1889" s="37" t="str">
        <f>HYPERLINK("http://sedek.ru/upload/iblock/e7d/tomat_krasavitsa_moskvy.jpg","фото")</f>
        <v>фото</v>
      </c>
      <c r="C1889" s="38"/>
      <c r="D1889" s="38"/>
      <c r="E1889" s="39"/>
      <c r="F1889" s="39" t="s">
        <v>2313</v>
      </c>
      <c r="G1889" s="44">
        <v>0.1</v>
      </c>
      <c r="H1889" s="39" t="s">
        <v>101</v>
      </c>
      <c r="I1889" s="39" t="s">
        <v>102</v>
      </c>
      <c r="J1889" s="41">
        <v>4000</v>
      </c>
      <c r="K1889" s="42">
        <v>20.5</v>
      </c>
      <c r="L1889" s="43"/>
      <c r="M1889" s="43">
        <f>L1889*K1889</f>
        <v>0</v>
      </c>
      <c r="N1889" s="35">
        <v>4690368009812</v>
      </c>
    </row>
    <row r="1890" spans="1:14" ht="36" customHeight="1" outlineLevel="3" x14ac:dyDescent="0.2">
      <c r="A1890" s="45">
        <v>15930</v>
      </c>
      <c r="B1890" s="37" t="str">
        <f>HYPERLINK("http://sedek.ru/upload/iblock/1ae/tomat_krasno_solnyshko_f1.jpg","фото")</f>
        <v>фото</v>
      </c>
      <c r="C1890" s="38"/>
      <c r="D1890" s="38" t="s">
        <v>266</v>
      </c>
      <c r="E1890" s="39"/>
      <c r="F1890" s="39" t="s">
        <v>2314</v>
      </c>
      <c r="G1890" s="54">
        <v>0.05</v>
      </c>
      <c r="H1890" s="39" t="s">
        <v>101</v>
      </c>
      <c r="I1890" s="39" t="s">
        <v>102</v>
      </c>
      <c r="J1890" s="41">
        <v>5000</v>
      </c>
      <c r="K1890" s="42">
        <v>30.3</v>
      </c>
      <c r="L1890" s="43"/>
      <c r="M1890" s="43">
        <f>L1890*K1890</f>
        <v>0</v>
      </c>
      <c r="N1890" s="35">
        <v>4607015185416</v>
      </c>
    </row>
    <row r="1891" spans="1:14" ht="24" customHeight="1" outlineLevel="3" x14ac:dyDescent="0.2">
      <c r="A1891" s="45">
        <v>14157</v>
      </c>
      <c r="B1891" s="37" t="str">
        <f>HYPERLINK("http://sedek.ru/upload/iblock/3b6/tomat_krasnyy_velikan.JPG","фото")</f>
        <v>фото</v>
      </c>
      <c r="C1891" s="38"/>
      <c r="D1891" s="38"/>
      <c r="E1891" s="39"/>
      <c r="F1891" s="39" t="s">
        <v>2315</v>
      </c>
      <c r="G1891" s="44">
        <v>0.1</v>
      </c>
      <c r="H1891" s="39" t="s">
        <v>101</v>
      </c>
      <c r="I1891" s="39" t="s">
        <v>102</v>
      </c>
      <c r="J1891" s="41">
        <v>4000</v>
      </c>
      <c r="K1891" s="42">
        <v>20.5</v>
      </c>
      <c r="L1891" s="43"/>
      <c r="M1891" s="43">
        <f>L1891*K1891</f>
        <v>0</v>
      </c>
      <c r="N1891" s="35">
        <v>4607116260517</v>
      </c>
    </row>
    <row r="1892" spans="1:14" ht="36" customHeight="1" outlineLevel="3" x14ac:dyDescent="0.2">
      <c r="A1892" s="45">
        <v>13770</v>
      </c>
      <c r="B1892" s="37" t="str">
        <f>HYPERLINK("http://sedek.ru/upload/iblock/5ed/tomat_krasnyy_myasistyy.jpg","фото")</f>
        <v>фото</v>
      </c>
      <c r="C1892" s="38"/>
      <c r="D1892" s="38"/>
      <c r="E1892" s="39"/>
      <c r="F1892" s="39" t="s">
        <v>2316</v>
      </c>
      <c r="G1892" s="44">
        <v>0.1</v>
      </c>
      <c r="H1892" s="39" t="s">
        <v>101</v>
      </c>
      <c r="I1892" s="39" t="s">
        <v>102</v>
      </c>
      <c r="J1892" s="41">
        <v>4000</v>
      </c>
      <c r="K1892" s="42">
        <v>20.5</v>
      </c>
      <c r="L1892" s="43"/>
      <c r="M1892" s="43">
        <f>L1892*K1892</f>
        <v>0</v>
      </c>
      <c r="N1892" s="35">
        <v>4607116260524</v>
      </c>
    </row>
    <row r="1893" spans="1:14" ht="36" customHeight="1" outlineLevel="3" x14ac:dyDescent="0.2">
      <c r="A1893" s="36" t="s">
        <v>2317</v>
      </c>
      <c r="B1893" s="37" t="str">
        <f>HYPERLINK("http://www.sedek.ru/upload/iblock/421/tomat_krasnyy_chempion_f1.jpg","фото")</f>
        <v>фото</v>
      </c>
      <c r="C1893" s="38"/>
      <c r="D1893" s="38"/>
      <c r="E1893" s="39"/>
      <c r="F1893" s="39" t="s">
        <v>2318</v>
      </c>
      <c r="G1893" s="54">
        <v>0.03</v>
      </c>
      <c r="H1893" s="39" t="s">
        <v>101</v>
      </c>
      <c r="I1893" s="39" t="s">
        <v>102</v>
      </c>
      <c r="J1893" s="41">
        <v>5000</v>
      </c>
      <c r="K1893" s="42">
        <v>37.299999999999997</v>
      </c>
      <c r="L1893" s="43"/>
      <c r="M1893" s="43">
        <f>L1893*K1893</f>
        <v>0</v>
      </c>
      <c r="N1893" s="35">
        <v>4690368033756</v>
      </c>
    </row>
    <row r="1894" spans="1:14" ht="24" customHeight="1" outlineLevel="3" x14ac:dyDescent="0.2">
      <c r="A1894" s="45">
        <v>14277</v>
      </c>
      <c r="B1894" s="37" t="str">
        <f>HYPERLINK("http://sedek.ru/upload/iblock/b10/tomat_krasotka_f1.jpg","фото")</f>
        <v>фото</v>
      </c>
      <c r="C1894" s="38"/>
      <c r="D1894" s="38" t="s">
        <v>266</v>
      </c>
      <c r="E1894" s="39"/>
      <c r="F1894" s="39" t="s">
        <v>2319</v>
      </c>
      <c r="G1894" s="54">
        <v>0.05</v>
      </c>
      <c r="H1894" s="39" t="s">
        <v>101</v>
      </c>
      <c r="I1894" s="39" t="s">
        <v>102</v>
      </c>
      <c r="J1894" s="41">
        <v>5000</v>
      </c>
      <c r="K1894" s="42">
        <v>39.299999999999997</v>
      </c>
      <c r="L1894" s="43"/>
      <c r="M1894" s="43">
        <f>L1894*K1894</f>
        <v>0</v>
      </c>
      <c r="N1894" s="35">
        <v>4607015185430</v>
      </c>
    </row>
    <row r="1895" spans="1:14" ht="24" customHeight="1" outlineLevel="3" x14ac:dyDescent="0.2">
      <c r="A1895" s="45">
        <v>14623</v>
      </c>
      <c r="B1895" s="37" t="str">
        <f>HYPERLINK("http://sedek.ru/upload/iblock/09c/tomat_krivyanskiy_f1.jpg","фото")</f>
        <v>фото</v>
      </c>
      <c r="C1895" s="38"/>
      <c r="D1895" s="38"/>
      <c r="E1895" s="39"/>
      <c r="F1895" s="39" t="s">
        <v>2320</v>
      </c>
      <c r="G1895" s="54">
        <v>0.05</v>
      </c>
      <c r="H1895" s="39" t="s">
        <v>101</v>
      </c>
      <c r="I1895" s="39" t="s">
        <v>102</v>
      </c>
      <c r="J1895" s="41">
        <v>5000</v>
      </c>
      <c r="K1895" s="42">
        <v>44.5</v>
      </c>
      <c r="L1895" s="43"/>
      <c r="M1895" s="43">
        <f>L1895*K1895</f>
        <v>0</v>
      </c>
      <c r="N1895" s="35">
        <v>4690368012997</v>
      </c>
    </row>
    <row r="1896" spans="1:14" ht="24" customHeight="1" outlineLevel="3" x14ac:dyDescent="0.2">
      <c r="A1896" s="45">
        <v>15130</v>
      </c>
      <c r="B1896" s="37" t="str">
        <f>HYPERLINK("http://www.sedek.ru/upload/iblock/eec/tomat_krupnyy_krasnyy.jpg","фото")</f>
        <v>фото</v>
      </c>
      <c r="C1896" s="38"/>
      <c r="D1896" s="38"/>
      <c r="E1896" s="39"/>
      <c r="F1896" s="39" t="s">
        <v>2321</v>
      </c>
      <c r="G1896" s="44">
        <v>0.1</v>
      </c>
      <c r="H1896" s="39" t="s">
        <v>101</v>
      </c>
      <c r="I1896" s="39" t="s">
        <v>102</v>
      </c>
      <c r="J1896" s="41">
        <v>4000</v>
      </c>
      <c r="K1896" s="42">
        <v>20.5</v>
      </c>
      <c r="L1896" s="43"/>
      <c r="M1896" s="43">
        <f>L1896*K1896</f>
        <v>0</v>
      </c>
      <c r="N1896" s="35">
        <v>4690368016469</v>
      </c>
    </row>
    <row r="1897" spans="1:14" ht="24" customHeight="1" outlineLevel="3" x14ac:dyDescent="0.2">
      <c r="A1897" s="45">
        <v>15318</v>
      </c>
      <c r="B1897" s="37" t="str">
        <f>HYPERLINK("http://www.sedek.ru/upload/iblock/416/tomat_krupnyy_rozovyy.jpg","фото")</f>
        <v>фото</v>
      </c>
      <c r="C1897" s="38"/>
      <c r="D1897" s="38"/>
      <c r="E1897" s="39"/>
      <c r="F1897" s="39" t="s">
        <v>2322</v>
      </c>
      <c r="G1897" s="44">
        <v>0.1</v>
      </c>
      <c r="H1897" s="39" t="s">
        <v>101</v>
      </c>
      <c r="I1897" s="39" t="s">
        <v>102</v>
      </c>
      <c r="J1897" s="41">
        <v>4000</v>
      </c>
      <c r="K1897" s="42">
        <v>19.5</v>
      </c>
      <c r="L1897" s="43"/>
      <c r="M1897" s="43">
        <f>L1897*K1897</f>
        <v>0</v>
      </c>
      <c r="N1897" s="35">
        <v>4690368016476</v>
      </c>
    </row>
    <row r="1898" spans="1:14" ht="24" customHeight="1" outlineLevel="3" x14ac:dyDescent="0.2">
      <c r="A1898" s="45">
        <v>13932</v>
      </c>
      <c r="B1898" s="37" t="str">
        <f>HYPERLINK("http://sedek.ru/upload/iblock/80f/tomat_kseniya_f1.jpg","фото")</f>
        <v>фото</v>
      </c>
      <c r="C1898" s="38"/>
      <c r="D1898" s="38"/>
      <c r="E1898" s="39"/>
      <c r="F1898" s="39" t="s">
        <v>2323</v>
      </c>
      <c r="G1898" s="44">
        <v>0.1</v>
      </c>
      <c r="H1898" s="39" t="s">
        <v>101</v>
      </c>
      <c r="I1898" s="39" t="s">
        <v>102</v>
      </c>
      <c r="J1898" s="41">
        <v>4000</v>
      </c>
      <c r="K1898" s="42">
        <v>37.299999999999997</v>
      </c>
      <c r="L1898" s="43"/>
      <c r="M1898" s="43">
        <f>L1898*K1898</f>
        <v>0</v>
      </c>
      <c r="N1898" s="35">
        <v>4690368022248</v>
      </c>
    </row>
    <row r="1899" spans="1:14" ht="24" customHeight="1" outlineLevel="3" x14ac:dyDescent="0.2">
      <c r="A1899" s="45">
        <v>16501</v>
      </c>
      <c r="B1899" s="37" t="str">
        <f>HYPERLINK("http://www.sedek.ru/upload/iblock/faf/tomat_ksyusha_f1.jpg","фото")</f>
        <v>фото</v>
      </c>
      <c r="C1899" s="38"/>
      <c r="D1899" s="38" t="s">
        <v>266</v>
      </c>
      <c r="E1899" s="39"/>
      <c r="F1899" s="39" t="s">
        <v>2324</v>
      </c>
      <c r="G1899" s="54">
        <v>0.05</v>
      </c>
      <c r="H1899" s="39" t="s">
        <v>101</v>
      </c>
      <c r="I1899" s="39" t="s">
        <v>102</v>
      </c>
      <c r="J1899" s="41">
        <v>5000</v>
      </c>
      <c r="K1899" s="42">
        <v>25.1</v>
      </c>
      <c r="L1899" s="43"/>
      <c r="M1899" s="43">
        <f>L1899*K1899</f>
        <v>0</v>
      </c>
      <c r="N1899" s="35">
        <v>4607116267547</v>
      </c>
    </row>
    <row r="1900" spans="1:14" ht="24" customHeight="1" outlineLevel="3" x14ac:dyDescent="0.2">
      <c r="A1900" s="45">
        <v>14332</v>
      </c>
      <c r="B1900" s="37" t="str">
        <f>HYPERLINK("http://sedek.ru/upload/iblock/1a6/tomat_kukla_f1.jpg","фото")</f>
        <v>фото</v>
      </c>
      <c r="C1900" s="38"/>
      <c r="D1900" s="38" t="s">
        <v>266</v>
      </c>
      <c r="E1900" s="39"/>
      <c r="F1900" s="39" t="s">
        <v>2325</v>
      </c>
      <c r="G1900" s="44">
        <v>0.1</v>
      </c>
      <c r="H1900" s="39" t="s">
        <v>101</v>
      </c>
      <c r="I1900" s="39" t="s">
        <v>102</v>
      </c>
      <c r="J1900" s="41">
        <v>4000</v>
      </c>
      <c r="K1900" s="42">
        <v>38.5</v>
      </c>
      <c r="L1900" s="43"/>
      <c r="M1900" s="43">
        <f>L1900*K1900</f>
        <v>0</v>
      </c>
      <c r="N1900" s="35">
        <v>4607015185447</v>
      </c>
    </row>
    <row r="1901" spans="1:14" ht="24" customHeight="1" outlineLevel="3" x14ac:dyDescent="0.2">
      <c r="A1901" s="36" t="s">
        <v>2326</v>
      </c>
      <c r="B1901" s="37" t="str">
        <f>HYPERLINK("http://sedek.ru/upload/iblock/c25/tomat_kukla_dasha_f1.jpg","фото")</f>
        <v>фото</v>
      </c>
      <c r="C1901" s="38"/>
      <c r="D1901" s="38" t="s">
        <v>266</v>
      </c>
      <c r="E1901" s="39"/>
      <c r="F1901" s="39" t="s">
        <v>2327</v>
      </c>
      <c r="G1901" s="54">
        <v>0.05</v>
      </c>
      <c r="H1901" s="39" t="s">
        <v>101</v>
      </c>
      <c r="I1901" s="39" t="s">
        <v>102</v>
      </c>
      <c r="J1901" s="41">
        <v>5000</v>
      </c>
      <c r="K1901" s="42">
        <v>39.4</v>
      </c>
      <c r="L1901" s="43"/>
      <c r="M1901" s="43">
        <f>L1901*K1901</f>
        <v>0</v>
      </c>
      <c r="N1901" s="35">
        <v>4690368026376</v>
      </c>
    </row>
    <row r="1902" spans="1:14" ht="36" customHeight="1" outlineLevel="3" x14ac:dyDescent="0.2">
      <c r="A1902" s="45">
        <v>15535</v>
      </c>
      <c r="B1902" s="37" t="str">
        <f>HYPERLINK("http://www.sedek.ru/upload/iblock/14e/tomat_kukla_masha_f1.jpg","фото")</f>
        <v>фото</v>
      </c>
      <c r="C1902" s="38"/>
      <c r="D1902" s="38" t="s">
        <v>266</v>
      </c>
      <c r="E1902" s="39"/>
      <c r="F1902" s="39" t="s">
        <v>2328</v>
      </c>
      <c r="G1902" s="54">
        <v>0.05</v>
      </c>
      <c r="H1902" s="39" t="s">
        <v>101</v>
      </c>
      <c r="I1902" s="39" t="s">
        <v>102</v>
      </c>
      <c r="J1902" s="41">
        <v>5000</v>
      </c>
      <c r="K1902" s="42">
        <v>39.4</v>
      </c>
      <c r="L1902" s="43"/>
      <c r="M1902" s="43">
        <f>L1902*K1902</f>
        <v>0</v>
      </c>
      <c r="N1902" s="35">
        <v>4690368013000</v>
      </c>
    </row>
    <row r="1903" spans="1:14" ht="36" customHeight="1" outlineLevel="3" x14ac:dyDescent="0.2">
      <c r="A1903" s="45">
        <v>14394</v>
      </c>
      <c r="B1903" s="37" t="str">
        <f>HYPERLINK("http://sedek.ru/upload/iblock/591/tomat_kupidon_f1.jpg","фото")</f>
        <v>фото</v>
      </c>
      <c r="C1903" s="38"/>
      <c r="D1903" s="38"/>
      <c r="E1903" s="39"/>
      <c r="F1903" s="39" t="s">
        <v>2329</v>
      </c>
      <c r="G1903" s="54">
        <v>0.05</v>
      </c>
      <c r="H1903" s="39" t="s">
        <v>101</v>
      </c>
      <c r="I1903" s="39" t="s">
        <v>102</v>
      </c>
      <c r="J1903" s="41">
        <v>5000</v>
      </c>
      <c r="K1903" s="42">
        <v>22.7</v>
      </c>
      <c r="L1903" s="43"/>
      <c r="M1903" s="43">
        <f>L1903*K1903</f>
        <v>0</v>
      </c>
      <c r="N1903" s="35">
        <v>4607015185454</v>
      </c>
    </row>
    <row r="1904" spans="1:14" ht="36" customHeight="1" outlineLevel="3" x14ac:dyDescent="0.2">
      <c r="A1904" s="45">
        <v>15118</v>
      </c>
      <c r="B1904" s="37" t="str">
        <f>HYPERLINK("http://sedek.ru/upload/iblock/12a/tomat_kupchikha_f1.jpg","фото")</f>
        <v>фото</v>
      </c>
      <c r="C1904" s="38"/>
      <c r="D1904" s="38"/>
      <c r="E1904" s="39"/>
      <c r="F1904" s="39" t="s">
        <v>2330</v>
      </c>
      <c r="G1904" s="54">
        <v>0.05</v>
      </c>
      <c r="H1904" s="39" t="s">
        <v>101</v>
      </c>
      <c r="I1904" s="39" t="s">
        <v>102</v>
      </c>
      <c r="J1904" s="41">
        <v>5000</v>
      </c>
      <c r="K1904" s="42">
        <v>39.299999999999997</v>
      </c>
      <c r="L1904" s="43"/>
      <c r="M1904" s="43">
        <f>L1904*K1904</f>
        <v>0</v>
      </c>
      <c r="N1904" s="35">
        <v>4690368007689</v>
      </c>
    </row>
    <row r="1905" spans="1:14" ht="24" customHeight="1" outlineLevel="3" x14ac:dyDescent="0.2">
      <c r="A1905" s="45">
        <v>16336</v>
      </c>
      <c r="B1905" s="37" t="str">
        <f>HYPERLINK("http://sedek.ru/upload/iblock/784/tomat_larisa_f1.jpg","фото")</f>
        <v>фото</v>
      </c>
      <c r="C1905" s="38"/>
      <c r="D1905" s="38"/>
      <c r="E1905" s="39"/>
      <c r="F1905" s="39" t="s">
        <v>2331</v>
      </c>
      <c r="G1905" s="54">
        <v>0.05</v>
      </c>
      <c r="H1905" s="39" t="s">
        <v>101</v>
      </c>
      <c r="I1905" s="39" t="s">
        <v>102</v>
      </c>
      <c r="J1905" s="41">
        <v>5000</v>
      </c>
      <c r="K1905" s="42">
        <v>41.9</v>
      </c>
      <c r="L1905" s="43"/>
      <c r="M1905" s="43">
        <f>L1905*K1905</f>
        <v>0</v>
      </c>
      <c r="N1905" s="35">
        <v>4690368008198</v>
      </c>
    </row>
    <row r="1906" spans="1:14" ht="36" customHeight="1" outlineLevel="3" x14ac:dyDescent="0.2">
      <c r="A1906" s="45">
        <v>14832</v>
      </c>
      <c r="B1906" s="37" t="str">
        <f>HYPERLINK("http://sedek.ru/upload/iblock/805/tomat_laska_f1.jpg","фото")</f>
        <v>фото</v>
      </c>
      <c r="C1906" s="38"/>
      <c r="D1906" s="38"/>
      <c r="E1906" s="39"/>
      <c r="F1906" s="39" t="s">
        <v>2332</v>
      </c>
      <c r="G1906" s="54">
        <v>0.05</v>
      </c>
      <c r="H1906" s="39" t="s">
        <v>101</v>
      </c>
      <c r="I1906" s="39" t="s">
        <v>102</v>
      </c>
      <c r="J1906" s="41">
        <v>5000</v>
      </c>
      <c r="K1906" s="42">
        <v>31.2</v>
      </c>
      <c r="L1906" s="43"/>
      <c r="M1906" s="43">
        <f>L1906*K1906</f>
        <v>0</v>
      </c>
      <c r="N1906" s="35">
        <v>4690368014618</v>
      </c>
    </row>
    <row r="1907" spans="1:14" ht="36" customHeight="1" outlineLevel="3" x14ac:dyDescent="0.2">
      <c r="A1907" s="45">
        <v>16057</v>
      </c>
      <c r="B1907" s="37" t="str">
        <f>HYPERLINK("http://sedek.ru/upload/iblock/9a9/tomat_lyezhkiy.jpg","фото")</f>
        <v>фото</v>
      </c>
      <c r="C1907" s="38"/>
      <c r="D1907" s="38"/>
      <c r="E1907" s="39"/>
      <c r="F1907" s="39" t="s">
        <v>2333</v>
      </c>
      <c r="G1907" s="44">
        <v>0.1</v>
      </c>
      <c r="H1907" s="39" t="s">
        <v>101</v>
      </c>
      <c r="I1907" s="39" t="s">
        <v>102</v>
      </c>
      <c r="J1907" s="41">
        <v>4000</v>
      </c>
      <c r="K1907" s="42">
        <v>20.6</v>
      </c>
      <c r="L1907" s="43"/>
      <c r="M1907" s="43">
        <f>L1907*K1907</f>
        <v>0</v>
      </c>
      <c r="N1907" s="35">
        <v>4607149409839</v>
      </c>
    </row>
    <row r="1908" spans="1:14" ht="36" customHeight="1" outlineLevel="3" x14ac:dyDescent="0.2">
      <c r="A1908" s="45">
        <v>15119</v>
      </c>
      <c r="B1908" s="37" t="str">
        <f>HYPERLINK("http://sedek.ru/upload/iblock/7f7/tomat_liza.jpg","фото")</f>
        <v>фото</v>
      </c>
      <c r="C1908" s="38"/>
      <c r="D1908" s="38" t="s">
        <v>266</v>
      </c>
      <c r="E1908" s="39"/>
      <c r="F1908" s="39" t="s">
        <v>2334</v>
      </c>
      <c r="G1908" s="44">
        <v>0.2</v>
      </c>
      <c r="H1908" s="39" t="s">
        <v>101</v>
      </c>
      <c r="I1908" s="39" t="s">
        <v>102</v>
      </c>
      <c r="J1908" s="41">
        <v>3000</v>
      </c>
      <c r="K1908" s="42">
        <v>19.5</v>
      </c>
      <c r="L1908" s="43"/>
      <c r="M1908" s="43">
        <f>L1908*K1908</f>
        <v>0</v>
      </c>
      <c r="N1908" s="35">
        <v>4607015185492</v>
      </c>
    </row>
    <row r="1909" spans="1:14" ht="36" customHeight="1" outlineLevel="3" x14ac:dyDescent="0.2">
      <c r="A1909" s="36" t="s">
        <v>2335</v>
      </c>
      <c r="B1909" s="37" t="str">
        <f>HYPERLINK("http://www.sedek.ru/upload/iblock/69c/tomat_limon_liana.jpg","фото")</f>
        <v>фото</v>
      </c>
      <c r="C1909" s="38"/>
      <c r="D1909" s="38"/>
      <c r="E1909" s="39"/>
      <c r="F1909" s="39" t="s">
        <v>2336</v>
      </c>
      <c r="G1909" s="44">
        <v>0.1</v>
      </c>
      <c r="H1909" s="39" t="s">
        <v>101</v>
      </c>
      <c r="I1909" s="39" t="s">
        <v>102</v>
      </c>
      <c r="J1909" s="41">
        <v>4000</v>
      </c>
      <c r="K1909" s="42">
        <v>21</v>
      </c>
      <c r="L1909" s="43"/>
      <c r="M1909" s="43">
        <f>L1909*K1909</f>
        <v>0</v>
      </c>
      <c r="N1909" s="35">
        <v>4690368030625</v>
      </c>
    </row>
    <row r="1910" spans="1:14" ht="24" customHeight="1" outlineLevel="3" x14ac:dyDescent="0.2">
      <c r="A1910" s="36" t="s">
        <v>2337</v>
      </c>
      <c r="B1910" s="37" t="str">
        <f>HYPERLINK("http://sedek.ru/upload/iblock/cf9/tomat_luchshiy_sedek_f1.jpg","фото")</f>
        <v>фото</v>
      </c>
      <c r="C1910" s="38"/>
      <c r="D1910" s="38"/>
      <c r="E1910" s="39"/>
      <c r="F1910" s="39" t="s">
        <v>2338</v>
      </c>
      <c r="G1910" s="54">
        <v>0.05</v>
      </c>
      <c r="H1910" s="39" t="s">
        <v>101</v>
      </c>
      <c r="I1910" s="39" t="s">
        <v>102</v>
      </c>
      <c r="J1910" s="41">
        <v>5000</v>
      </c>
      <c r="K1910" s="42">
        <v>28</v>
      </c>
      <c r="L1910" s="43"/>
      <c r="M1910" s="43">
        <f>L1910*K1910</f>
        <v>0</v>
      </c>
      <c r="N1910" s="35">
        <v>4607116260586</v>
      </c>
    </row>
    <row r="1911" spans="1:14" ht="36" customHeight="1" outlineLevel="3" x14ac:dyDescent="0.2">
      <c r="A1911" s="45">
        <v>14658</v>
      </c>
      <c r="B1911" s="37" t="str">
        <f>HYPERLINK("http://sedek.ru/upload/iblock/c3c/tomat_lyubitelskiy_rozovyy.jpg","фото")</f>
        <v>фото</v>
      </c>
      <c r="C1911" s="38"/>
      <c r="D1911" s="38"/>
      <c r="E1911" s="39"/>
      <c r="F1911" s="39" t="s">
        <v>2339</v>
      </c>
      <c r="G1911" s="44">
        <v>0.1</v>
      </c>
      <c r="H1911" s="39" t="s">
        <v>101</v>
      </c>
      <c r="I1911" s="39" t="s">
        <v>102</v>
      </c>
      <c r="J1911" s="41">
        <v>4000</v>
      </c>
      <c r="K1911" s="42">
        <v>19.5</v>
      </c>
      <c r="L1911" s="43"/>
      <c r="M1911" s="43">
        <f>L1911*K1911</f>
        <v>0</v>
      </c>
      <c r="N1911" s="35">
        <v>4607116260593</v>
      </c>
    </row>
    <row r="1912" spans="1:14" ht="24" customHeight="1" outlineLevel="3" x14ac:dyDescent="0.2">
      <c r="A1912" s="45">
        <v>15339</v>
      </c>
      <c r="B1912" s="37" t="str">
        <f>HYPERLINK("http://sedek.ru/upload/iblock/de5/tomat_lyubov_f1.jpg","фото")</f>
        <v>фото</v>
      </c>
      <c r="C1912" s="38"/>
      <c r="D1912" s="38"/>
      <c r="E1912" s="39"/>
      <c r="F1912" s="39" t="s">
        <v>2340</v>
      </c>
      <c r="G1912" s="54">
        <v>0.05</v>
      </c>
      <c r="H1912" s="39" t="s">
        <v>101</v>
      </c>
      <c r="I1912" s="39" t="s">
        <v>102</v>
      </c>
      <c r="J1912" s="41">
        <v>5000</v>
      </c>
      <c r="K1912" s="42">
        <v>40.799999999999997</v>
      </c>
      <c r="L1912" s="43"/>
      <c r="M1912" s="43">
        <f>L1912*K1912</f>
        <v>0</v>
      </c>
      <c r="N1912" s="35">
        <v>4690368013017</v>
      </c>
    </row>
    <row r="1913" spans="1:14" ht="24" customHeight="1" outlineLevel="3" x14ac:dyDescent="0.2">
      <c r="A1913" s="36" t="s">
        <v>2341</v>
      </c>
      <c r="B1913" s="37" t="str">
        <f>HYPERLINK("http://www.sedek.ru/upload/iblock/ce4/tomat_lyubov_tokio_f1.jpg","фото")</f>
        <v>фото</v>
      </c>
      <c r="C1913" s="38"/>
      <c r="D1913" s="38" t="s">
        <v>266</v>
      </c>
      <c r="E1913" s="39"/>
      <c r="F1913" s="39" t="s">
        <v>2342</v>
      </c>
      <c r="G1913" s="54">
        <v>0.03</v>
      </c>
      <c r="H1913" s="39" t="s">
        <v>101</v>
      </c>
      <c r="I1913" s="39" t="s">
        <v>102</v>
      </c>
      <c r="J1913" s="41">
        <v>5000</v>
      </c>
      <c r="K1913" s="42">
        <v>43</v>
      </c>
      <c r="L1913" s="43"/>
      <c r="M1913" s="43">
        <f>L1913*K1913</f>
        <v>0</v>
      </c>
      <c r="N1913" s="35">
        <v>4690368030632</v>
      </c>
    </row>
    <row r="1914" spans="1:14" ht="36" customHeight="1" outlineLevel="3" x14ac:dyDescent="0.2">
      <c r="A1914" s="45">
        <v>13934</v>
      </c>
      <c r="B1914" s="37" t="str">
        <f>HYPERLINK("http://sedek.ru/upload/iblock/3a7/tomat_lyana_rozovaya.jpg","фото")</f>
        <v>фото</v>
      </c>
      <c r="C1914" s="38"/>
      <c r="D1914" s="38"/>
      <c r="E1914" s="39"/>
      <c r="F1914" s="39" t="s">
        <v>2343</v>
      </c>
      <c r="G1914" s="44">
        <v>0.1</v>
      </c>
      <c r="H1914" s="39" t="s">
        <v>101</v>
      </c>
      <c r="I1914" s="39" t="s">
        <v>102</v>
      </c>
      <c r="J1914" s="41">
        <v>4000</v>
      </c>
      <c r="K1914" s="42">
        <v>20</v>
      </c>
      <c r="L1914" s="43"/>
      <c r="M1914" s="43">
        <f>L1914*K1914</f>
        <v>0</v>
      </c>
      <c r="N1914" s="35">
        <v>4690368022255</v>
      </c>
    </row>
    <row r="1915" spans="1:14" ht="24" customHeight="1" outlineLevel="3" x14ac:dyDescent="0.2">
      <c r="A1915" s="45">
        <v>15838</v>
      </c>
      <c r="B1915" s="37" t="str">
        <f>HYPERLINK("http://sedek.ru/upload/iblock/87b/tomat_mazhor_f1.jpg","фото")</f>
        <v>фото</v>
      </c>
      <c r="C1915" s="38"/>
      <c r="D1915" s="38"/>
      <c r="E1915" s="39"/>
      <c r="F1915" s="39" t="s">
        <v>2344</v>
      </c>
      <c r="G1915" s="54">
        <v>0.05</v>
      </c>
      <c r="H1915" s="39" t="s">
        <v>101</v>
      </c>
      <c r="I1915" s="39" t="s">
        <v>102</v>
      </c>
      <c r="J1915" s="41">
        <v>5000</v>
      </c>
      <c r="K1915" s="42">
        <v>42.2</v>
      </c>
      <c r="L1915" s="43"/>
      <c r="M1915" s="43">
        <f>L1915*K1915</f>
        <v>0</v>
      </c>
      <c r="N1915" s="35">
        <v>4607116260623</v>
      </c>
    </row>
    <row r="1916" spans="1:14" ht="36" customHeight="1" outlineLevel="3" x14ac:dyDescent="0.2">
      <c r="A1916" s="45">
        <v>16363</v>
      </c>
      <c r="B1916" s="37" t="str">
        <f>HYPERLINK("http://sedek.ru/upload/iblock/e1c/tomat_malinovaya_kubyshka.jpg","фото")</f>
        <v>фото</v>
      </c>
      <c r="C1916" s="38"/>
      <c r="D1916" s="38"/>
      <c r="E1916" s="39"/>
      <c r="F1916" s="39" t="s">
        <v>2345</v>
      </c>
      <c r="G1916" s="44">
        <v>0.1</v>
      </c>
      <c r="H1916" s="39" t="s">
        <v>101</v>
      </c>
      <c r="I1916" s="39" t="s">
        <v>102</v>
      </c>
      <c r="J1916" s="41">
        <v>4000</v>
      </c>
      <c r="K1916" s="42">
        <v>19.8</v>
      </c>
      <c r="L1916" s="43"/>
      <c r="M1916" s="43">
        <f>L1916*K1916</f>
        <v>0</v>
      </c>
      <c r="N1916" s="35">
        <v>4607116260654</v>
      </c>
    </row>
    <row r="1917" spans="1:14" ht="36" customHeight="1" outlineLevel="3" x14ac:dyDescent="0.2">
      <c r="A1917" s="45">
        <v>15348</v>
      </c>
      <c r="B1917" s="37" t="str">
        <f>HYPERLINK("http://sedek.ru/upload/iblock/14e/tomat_malinovyy_gigant.jpg","фото")</f>
        <v>фото</v>
      </c>
      <c r="C1917" s="38"/>
      <c r="D1917" s="38"/>
      <c r="E1917" s="39"/>
      <c r="F1917" s="39" t="s">
        <v>2346</v>
      </c>
      <c r="G1917" s="44">
        <v>0.1</v>
      </c>
      <c r="H1917" s="39" t="s">
        <v>101</v>
      </c>
      <c r="I1917" s="39" t="s">
        <v>102</v>
      </c>
      <c r="J1917" s="41">
        <v>4000</v>
      </c>
      <c r="K1917" s="42">
        <v>23.8</v>
      </c>
      <c r="L1917" s="43"/>
      <c r="M1917" s="43">
        <f>L1917*K1917</f>
        <v>0</v>
      </c>
      <c r="N1917" s="35">
        <v>4607116260661</v>
      </c>
    </row>
    <row r="1918" spans="1:14" ht="36" customHeight="1" outlineLevel="3" x14ac:dyDescent="0.2">
      <c r="A1918" s="45">
        <v>15348</v>
      </c>
      <c r="B1918" s="37" t="str">
        <f>HYPERLINK("http://sedek.ru/upload/iblock/14e/tomat_malinovyy_gigant.jpg","фото")</f>
        <v>фото</v>
      </c>
      <c r="C1918" s="38"/>
      <c r="D1918" s="38"/>
      <c r="E1918" s="39"/>
      <c r="F1918" s="39" t="s">
        <v>2347</v>
      </c>
      <c r="G1918" s="44">
        <v>0.1</v>
      </c>
      <c r="H1918" s="39" t="s">
        <v>101</v>
      </c>
      <c r="I1918" s="39" t="s">
        <v>287</v>
      </c>
      <c r="J1918" s="41">
        <v>4000</v>
      </c>
      <c r="K1918" s="42">
        <v>11.9</v>
      </c>
      <c r="L1918" s="43"/>
      <c r="M1918" s="43">
        <f>L1918*K1918</f>
        <v>0</v>
      </c>
      <c r="N1918" s="35">
        <v>4607149405916</v>
      </c>
    </row>
    <row r="1919" spans="1:14" ht="24" customHeight="1" outlineLevel="3" x14ac:dyDescent="0.2">
      <c r="A1919" s="45">
        <v>13572</v>
      </c>
      <c r="B1919" s="37" t="str">
        <f>HYPERLINK("http://sedek.ru/upload/iblock/c55/tomat_malinovyy_delikates_f1.jpg","фото")</f>
        <v>фото</v>
      </c>
      <c r="C1919" s="38"/>
      <c r="D1919" s="38"/>
      <c r="E1919" s="39"/>
      <c r="F1919" s="39" t="s">
        <v>2348</v>
      </c>
      <c r="G1919" s="44">
        <v>0.1</v>
      </c>
      <c r="H1919" s="39" t="s">
        <v>101</v>
      </c>
      <c r="I1919" s="39" t="s">
        <v>102</v>
      </c>
      <c r="J1919" s="41">
        <v>4000</v>
      </c>
      <c r="K1919" s="42">
        <v>27.9</v>
      </c>
      <c r="L1919" s="43"/>
      <c r="M1919" s="43">
        <f>L1919*K1919</f>
        <v>0</v>
      </c>
      <c r="N1919" s="35">
        <v>4607149404971</v>
      </c>
    </row>
    <row r="1920" spans="1:14" ht="24" customHeight="1" outlineLevel="3" x14ac:dyDescent="0.2">
      <c r="A1920" s="45">
        <v>16017</v>
      </c>
      <c r="B1920" s="37" t="str">
        <f>HYPERLINK("http://sedek.ru/upload/iblock/358/tomat_malinovyy_zvon_f1.jpg","фото")</f>
        <v>фото</v>
      </c>
      <c r="C1920" s="38"/>
      <c r="D1920" s="38"/>
      <c r="E1920" s="39"/>
      <c r="F1920" s="39" t="s">
        <v>2349</v>
      </c>
      <c r="G1920" s="54">
        <v>0.05</v>
      </c>
      <c r="H1920" s="39" t="s">
        <v>101</v>
      </c>
      <c r="I1920" s="39" t="s">
        <v>102</v>
      </c>
      <c r="J1920" s="41">
        <v>5000</v>
      </c>
      <c r="K1920" s="42">
        <v>36</v>
      </c>
      <c r="L1920" s="43"/>
      <c r="M1920" s="43">
        <f>L1920*K1920</f>
        <v>0</v>
      </c>
      <c r="N1920" s="35">
        <v>4690368013024</v>
      </c>
    </row>
    <row r="1921" spans="1:14" ht="36" customHeight="1" outlineLevel="3" x14ac:dyDescent="0.2">
      <c r="A1921" s="45">
        <v>15991</v>
      </c>
      <c r="B1921" s="37" t="str">
        <f>HYPERLINK("http://sedek.ru/upload/iblock/52c/tomat_malinovyy_myasistyy.jpg","фото")</f>
        <v>фото</v>
      </c>
      <c r="C1921" s="38"/>
      <c r="D1921" s="38"/>
      <c r="E1921" s="39"/>
      <c r="F1921" s="39" t="s">
        <v>2350</v>
      </c>
      <c r="G1921" s="44">
        <v>0.1</v>
      </c>
      <c r="H1921" s="39" t="s">
        <v>101</v>
      </c>
      <c r="I1921" s="39" t="s">
        <v>102</v>
      </c>
      <c r="J1921" s="41">
        <v>4000</v>
      </c>
      <c r="K1921" s="42">
        <v>20.6</v>
      </c>
      <c r="L1921" s="43"/>
      <c r="M1921" s="43">
        <f>L1921*K1921</f>
        <v>0</v>
      </c>
      <c r="N1921" s="35">
        <v>4607149405015</v>
      </c>
    </row>
    <row r="1922" spans="1:14" ht="36" customHeight="1" outlineLevel="3" x14ac:dyDescent="0.2">
      <c r="A1922" s="36" t="s">
        <v>2351</v>
      </c>
      <c r="B1922" s="37" t="str">
        <f>HYPERLINK("http://sedek.ru/upload/iblock/52c/tomat_malinovyy_myasistyy.jpg","фото")</f>
        <v>фото</v>
      </c>
      <c r="C1922" s="38"/>
      <c r="D1922" s="38"/>
      <c r="E1922" s="39"/>
      <c r="F1922" s="39" t="s">
        <v>2350</v>
      </c>
      <c r="G1922" s="44">
        <v>0.1</v>
      </c>
      <c r="H1922" s="39"/>
      <c r="I1922" s="39" t="s">
        <v>102</v>
      </c>
      <c r="J1922" s="41">
        <v>4000</v>
      </c>
      <c r="K1922" s="42">
        <v>20.6</v>
      </c>
      <c r="L1922" s="43"/>
      <c r="M1922" s="43">
        <f>L1922*K1922</f>
        <v>0</v>
      </c>
      <c r="N1922" s="35">
        <v>4607149405015</v>
      </c>
    </row>
    <row r="1923" spans="1:14" ht="36" customHeight="1" outlineLevel="3" x14ac:dyDescent="0.2">
      <c r="A1923" s="36" t="s">
        <v>2352</v>
      </c>
      <c r="B1923" s="37" t="str">
        <f>HYPERLINK("http://www.sedek.ru/upload/iblock/62a/tomat_malinovyy_ranniy.jpg","Фото")</f>
        <v>Фото</v>
      </c>
      <c r="C1923" s="38"/>
      <c r="D1923" s="38"/>
      <c r="E1923" s="39"/>
      <c r="F1923" s="39" t="s">
        <v>2353</v>
      </c>
      <c r="G1923" s="44">
        <v>0.1</v>
      </c>
      <c r="H1923" s="39" t="s">
        <v>101</v>
      </c>
      <c r="I1923" s="39" t="s">
        <v>102</v>
      </c>
      <c r="J1923" s="41">
        <v>4000</v>
      </c>
      <c r="K1923" s="42">
        <v>20.5</v>
      </c>
      <c r="L1923" s="43"/>
      <c r="M1923" s="43">
        <f>L1923*K1923</f>
        <v>0</v>
      </c>
      <c r="N1923" s="35">
        <v>4690368025591</v>
      </c>
    </row>
    <row r="1924" spans="1:14" ht="36" customHeight="1" outlineLevel="3" x14ac:dyDescent="0.2">
      <c r="A1924" s="45">
        <v>16190</v>
      </c>
      <c r="B1924" s="37" t="str">
        <f>HYPERLINK("http://sedek.ru/upload/iblock/d4d/tomat_malinovyy_tsvet.jpg","фото")</f>
        <v>фото</v>
      </c>
      <c r="C1924" s="38"/>
      <c r="D1924" s="38"/>
      <c r="E1924" s="39"/>
      <c r="F1924" s="39" t="s">
        <v>2354</v>
      </c>
      <c r="G1924" s="44">
        <v>0.1</v>
      </c>
      <c r="H1924" s="39" t="s">
        <v>101</v>
      </c>
      <c r="I1924" s="39" t="s">
        <v>102</v>
      </c>
      <c r="J1924" s="41">
        <v>4000</v>
      </c>
      <c r="K1924" s="42">
        <v>20.6</v>
      </c>
      <c r="L1924" s="43"/>
      <c r="M1924" s="43">
        <f>L1924*K1924</f>
        <v>0</v>
      </c>
      <c r="N1924" s="35">
        <v>4607116260678</v>
      </c>
    </row>
    <row r="1925" spans="1:14" ht="36" customHeight="1" outlineLevel="3" x14ac:dyDescent="0.2">
      <c r="A1925" s="36" t="s">
        <v>2355</v>
      </c>
      <c r="B1925" s="37" t="str">
        <f>HYPERLINK("http://sedek.ru/upload/iblock/209/tomat_malchik_s_palchik.jpg","фото")</f>
        <v>фото</v>
      </c>
      <c r="C1925" s="38"/>
      <c r="D1925" s="38"/>
      <c r="E1925" s="39"/>
      <c r="F1925" s="39" t="s">
        <v>2356</v>
      </c>
      <c r="G1925" s="44">
        <v>0.1</v>
      </c>
      <c r="H1925" s="39" t="s">
        <v>101</v>
      </c>
      <c r="I1925" s="39" t="s">
        <v>102</v>
      </c>
      <c r="J1925" s="41">
        <v>4000</v>
      </c>
      <c r="K1925" s="42">
        <v>19.5</v>
      </c>
      <c r="L1925" s="43"/>
      <c r="M1925" s="43">
        <f>L1925*K1925</f>
        <v>0</v>
      </c>
      <c r="N1925" s="35">
        <v>4607116260685</v>
      </c>
    </row>
    <row r="1926" spans="1:14" ht="36" customHeight="1" outlineLevel="3" x14ac:dyDescent="0.2">
      <c r="A1926" s="36" t="s">
        <v>2357</v>
      </c>
      <c r="B1926" s="37" t="str">
        <f>HYPERLINK("http://www.sedek.ru/upload/iblock/bfb/tomat_mamenkina_dochka_f1.jpg","Фото")</f>
        <v>Фото</v>
      </c>
      <c r="C1926" s="38"/>
      <c r="D1926" s="38"/>
      <c r="E1926" s="39"/>
      <c r="F1926" s="39" t="s">
        <v>2358</v>
      </c>
      <c r="G1926" s="54">
        <v>0.05</v>
      </c>
      <c r="H1926" s="39" t="s">
        <v>101</v>
      </c>
      <c r="I1926" s="39" t="s">
        <v>102</v>
      </c>
      <c r="J1926" s="41">
        <v>5000</v>
      </c>
      <c r="K1926" s="42">
        <v>21.9</v>
      </c>
      <c r="L1926" s="43"/>
      <c r="M1926" s="43">
        <f>L1926*K1926</f>
        <v>0</v>
      </c>
      <c r="N1926" s="35">
        <v>4690368028042</v>
      </c>
    </row>
    <row r="1927" spans="1:14" ht="24" customHeight="1" outlineLevel="3" x14ac:dyDescent="0.2">
      <c r="A1927" s="45">
        <v>16393</v>
      </c>
      <c r="B1927" s="37" t="str">
        <f>HYPERLINK("http://sedek.ru/upload/iblock/e6e/tomat_mamulya_f1.jpg","фото")</f>
        <v>фото</v>
      </c>
      <c r="C1927" s="38"/>
      <c r="D1927" s="38"/>
      <c r="E1927" s="39"/>
      <c r="F1927" s="39" t="s">
        <v>2359</v>
      </c>
      <c r="G1927" s="44">
        <v>0.1</v>
      </c>
      <c r="H1927" s="39" t="s">
        <v>101</v>
      </c>
      <c r="I1927" s="39" t="s">
        <v>102</v>
      </c>
      <c r="J1927" s="41">
        <v>4000</v>
      </c>
      <c r="K1927" s="42">
        <v>20.5</v>
      </c>
      <c r="L1927" s="43"/>
      <c r="M1927" s="43">
        <f>L1927*K1927</f>
        <v>0</v>
      </c>
      <c r="N1927" s="35">
        <v>4690368004350</v>
      </c>
    </row>
    <row r="1928" spans="1:14" ht="36" customHeight="1" outlineLevel="3" x14ac:dyDescent="0.2">
      <c r="A1928" s="45">
        <v>14754</v>
      </c>
      <c r="B1928" s="37" t="str">
        <f>HYPERLINK("http://sedek.ru/upload/iblock/e24/tomat_mars_uluchshennyy_f1.jpg","фото")</f>
        <v>фото</v>
      </c>
      <c r="C1928" s="38"/>
      <c r="D1928" s="38"/>
      <c r="E1928" s="39"/>
      <c r="F1928" s="39" t="s">
        <v>2360</v>
      </c>
      <c r="G1928" s="54">
        <v>0.05</v>
      </c>
      <c r="H1928" s="39" t="s">
        <v>101</v>
      </c>
      <c r="I1928" s="39" t="s">
        <v>102</v>
      </c>
      <c r="J1928" s="41">
        <v>5000</v>
      </c>
      <c r="K1928" s="42">
        <v>22.7</v>
      </c>
      <c r="L1928" s="43"/>
      <c r="M1928" s="43">
        <f>L1928*K1928</f>
        <v>0</v>
      </c>
      <c r="N1928" s="35">
        <v>4607116260739</v>
      </c>
    </row>
    <row r="1929" spans="1:14" ht="24" customHeight="1" outlineLevel="3" x14ac:dyDescent="0.2">
      <c r="A1929" s="45">
        <v>13497</v>
      </c>
      <c r="B1929" s="37" t="str">
        <f>HYPERLINK("http://www.sedek.ru/upload/iblock/155/tomat_marusya.jpg","фото")</f>
        <v>фото</v>
      </c>
      <c r="C1929" s="38"/>
      <c r="D1929" s="38" t="s">
        <v>266</v>
      </c>
      <c r="E1929" s="39"/>
      <c r="F1929" s="39" t="s">
        <v>2361</v>
      </c>
      <c r="G1929" s="44">
        <v>0.1</v>
      </c>
      <c r="H1929" s="39" t="s">
        <v>101</v>
      </c>
      <c r="I1929" s="39" t="s">
        <v>102</v>
      </c>
      <c r="J1929" s="41">
        <v>4000</v>
      </c>
      <c r="K1929" s="42">
        <v>20.5</v>
      </c>
      <c r="L1929" s="43"/>
      <c r="M1929" s="43">
        <f>L1929*K1929</f>
        <v>0</v>
      </c>
      <c r="N1929" s="35">
        <v>4607116260753</v>
      </c>
    </row>
    <row r="1930" spans="1:14" ht="36" customHeight="1" outlineLevel="3" x14ac:dyDescent="0.2">
      <c r="A1930" s="36" t="s">
        <v>2362</v>
      </c>
      <c r="B1930" s="37" t="str">
        <f>HYPERLINK("http://sedek.ru/upload/iblock/323/tomat_medvezhonok_f1.jpg","фото")</f>
        <v>фото</v>
      </c>
      <c r="C1930" s="38"/>
      <c r="D1930" s="38"/>
      <c r="E1930" s="39"/>
      <c r="F1930" s="39" t="s">
        <v>2363</v>
      </c>
      <c r="G1930" s="44">
        <v>0.1</v>
      </c>
      <c r="H1930" s="39" t="s">
        <v>101</v>
      </c>
      <c r="I1930" s="39" t="s">
        <v>102</v>
      </c>
      <c r="J1930" s="41">
        <v>4000</v>
      </c>
      <c r="K1930" s="42">
        <v>20.5</v>
      </c>
      <c r="L1930" s="43"/>
      <c r="M1930" s="43">
        <f>L1930*K1930</f>
        <v>0</v>
      </c>
      <c r="N1930" s="35">
        <v>4690368026123</v>
      </c>
    </row>
    <row r="1931" spans="1:14" ht="36" customHeight="1" outlineLevel="3" x14ac:dyDescent="0.2">
      <c r="A1931" s="36" t="s">
        <v>2364</v>
      </c>
      <c r="B1931" s="37" t="str">
        <f>HYPERLINK("http://www.sedek.ru/upload/iblock/ea5/1q7apkhy0luftpswu7crkvjaamefyp29/tomat_medvezhe_serdtse.png ","фото")</f>
        <v>фото</v>
      </c>
      <c r="C1931" s="38" t="s">
        <v>266</v>
      </c>
      <c r="D1931" s="38" t="s">
        <v>266</v>
      </c>
      <c r="E1931" s="39"/>
      <c r="F1931" s="39" t="s">
        <v>2365</v>
      </c>
      <c r="G1931" s="44">
        <v>0.1</v>
      </c>
      <c r="H1931" s="39" t="s">
        <v>101</v>
      </c>
      <c r="I1931" s="39" t="s">
        <v>102</v>
      </c>
      <c r="J1931" s="41">
        <v>5000</v>
      </c>
      <c r="K1931" s="42">
        <v>46</v>
      </c>
      <c r="L1931" s="43"/>
      <c r="M1931" s="43">
        <f>L1931*K1931</f>
        <v>0</v>
      </c>
      <c r="N1931" s="35">
        <v>4690368041164</v>
      </c>
    </row>
    <row r="1932" spans="1:14" ht="36" customHeight="1" outlineLevel="3" x14ac:dyDescent="0.2">
      <c r="A1932" s="45">
        <v>13753</v>
      </c>
      <c r="B1932" s="37" t="str">
        <f>HYPERLINK("http://www.sedek.ru/upload/iblock/cd4/tomat_medovaya_grozd.jpg","фото")</f>
        <v>фото</v>
      </c>
      <c r="C1932" s="38"/>
      <c r="D1932" s="38"/>
      <c r="E1932" s="39"/>
      <c r="F1932" s="39" t="s">
        <v>2366</v>
      </c>
      <c r="G1932" s="44">
        <v>0.1</v>
      </c>
      <c r="H1932" s="39" t="s">
        <v>101</v>
      </c>
      <c r="I1932" s="39" t="s">
        <v>102</v>
      </c>
      <c r="J1932" s="41">
        <v>4000</v>
      </c>
      <c r="K1932" s="42">
        <v>20.399999999999999</v>
      </c>
      <c r="L1932" s="43"/>
      <c r="M1932" s="43">
        <f>L1932*K1932</f>
        <v>0</v>
      </c>
      <c r="N1932" s="35">
        <v>4607149405077</v>
      </c>
    </row>
    <row r="1933" spans="1:14" ht="36" customHeight="1" outlineLevel="3" x14ac:dyDescent="0.2">
      <c r="A1933" s="45">
        <v>16356</v>
      </c>
      <c r="B1933" s="37" t="str">
        <f>HYPERLINK("http://sedek.ru/upload/iblock/591/tomat_medovaya_konfetka_f1.jpg","фото")</f>
        <v>фото</v>
      </c>
      <c r="C1933" s="38"/>
      <c r="D1933" s="38" t="s">
        <v>266</v>
      </c>
      <c r="E1933" s="39" t="s">
        <v>2173</v>
      </c>
      <c r="F1933" s="39" t="s">
        <v>2367</v>
      </c>
      <c r="G1933" s="54">
        <v>0.05</v>
      </c>
      <c r="H1933" s="39" t="s">
        <v>101</v>
      </c>
      <c r="I1933" s="39" t="s">
        <v>102</v>
      </c>
      <c r="J1933" s="41">
        <v>5000</v>
      </c>
      <c r="K1933" s="42">
        <v>41.1</v>
      </c>
      <c r="L1933" s="43"/>
      <c r="M1933" s="43">
        <f>L1933*K1933</f>
        <v>0</v>
      </c>
      <c r="N1933" s="35">
        <v>4607149404957</v>
      </c>
    </row>
    <row r="1934" spans="1:14" ht="36" customHeight="1" outlineLevel="3" x14ac:dyDescent="0.2">
      <c r="A1934" s="36" t="s">
        <v>2368</v>
      </c>
      <c r="B1934" s="37" t="str">
        <f>HYPERLINK("http://sedek.ru/upload/iblock/6c9/tomat_medovik.jpg","фото")</f>
        <v>фото</v>
      </c>
      <c r="C1934" s="38"/>
      <c r="D1934" s="38"/>
      <c r="E1934" s="39"/>
      <c r="F1934" s="39" t="s">
        <v>2369</v>
      </c>
      <c r="G1934" s="54">
        <v>0.05</v>
      </c>
      <c r="H1934" s="39" t="s">
        <v>101</v>
      </c>
      <c r="I1934" s="39" t="s">
        <v>102</v>
      </c>
      <c r="J1934" s="41">
        <v>3000</v>
      </c>
      <c r="K1934" s="42">
        <v>46.1</v>
      </c>
      <c r="L1934" s="43"/>
      <c r="M1934" s="43">
        <f>L1934*K1934</f>
        <v>0</v>
      </c>
      <c r="N1934" s="35">
        <v>4690368039611</v>
      </c>
    </row>
    <row r="1935" spans="1:14" ht="24" customHeight="1" outlineLevel="3" x14ac:dyDescent="0.2">
      <c r="A1935" s="36" t="s">
        <v>2370</v>
      </c>
      <c r="B1935" s="37" t="str">
        <f>HYPERLINK("http://sedek.ru/upload/iblock/59c/tomat_medovyy.jpg","фото")</f>
        <v>фото</v>
      </c>
      <c r="C1935" s="38"/>
      <c r="D1935" s="38" t="s">
        <v>266</v>
      </c>
      <c r="E1935" s="39"/>
      <c r="F1935" s="39" t="s">
        <v>2371</v>
      </c>
      <c r="G1935" s="44">
        <v>0.1</v>
      </c>
      <c r="H1935" s="39" t="s">
        <v>101</v>
      </c>
      <c r="I1935" s="39" t="s">
        <v>102</v>
      </c>
      <c r="J1935" s="41">
        <v>4000</v>
      </c>
      <c r="K1935" s="42">
        <v>20.5</v>
      </c>
      <c r="L1935" s="43"/>
      <c r="M1935" s="43">
        <f>L1935*K1935</f>
        <v>0</v>
      </c>
      <c r="N1935" s="35">
        <v>4690368026512</v>
      </c>
    </row>
    <row r="1936" spans="1:14" ht="36" customHeight="1" outlineLevel="3" x14ac:dyDescent="0.2">
      <c r="A1936" s="45">
        <v>14214</v>
      </c>
      <c r="B1936" s="37" t="str">
        <f>HYPERLINK("http://sedek.ru/upload/iblock/867/tomat_mechta_lyubitelya.jpg","фото")</f>
        <v>фото</v>
      </c>
      <c r="C1936" s="38"/>
      <c r="D1936" s="38"/>
      <c r="E1936" s="39"/>
      <c r="F1936" s="39" t="s">
        <v>2372</v>
      </c>
      <c r="G1936" s="44">
        <v>0.1</v>
      </c>
      <c r="H1936" s="39" t="s">
        <v>101</v>
      </c>
      <c r="I1936" s="39" t="s">
        <v>102</v>
      </c>
      <c r="J1936" s="41">
        <v>4000</v>
      </c>
      <c r="K1936" s="42">
        <v>20.5</v>
      </c>
      <c r="L1936" s="43"/>
      <c r="M1936" s="43">
        <f>L1936*K1936</f>
        <v>0</v>
      </c>
      <c r="N1936" s="35">
        <v>4607149405084</v>
      </c>
    </row>
    <row r="1937" spans="1:14" ht="36" customHeight="1" outlineLevel="3" x14ac:dyDescent="0.2">
      <c r="A1937" s="46">
        <v>15554</v>
      </c>
      <c r="B1937" s="47" t="str">
        <f>HYPERLINK("http://sedek.ru/upload/iblock/1dd/tomat_mechta_ogorodnika.jpg","фото")</f>
        <v>фото</v>
      </c>
      <c r="C1937" s="48"/>
      <c r="D1937" s="48"/>
      <c r="E1937" s="49"/>
      <c r="F1937" s="49" t="s">
        <v>2373</v>
      </c>
      <c r="G1937" s="56">
        <v>0.2</v>
      </c>
      <c r="H1937" s="49" t="s">
        <v>101</v>
      </c>
      <c r="I1937" s="49" t="s">
        <v>102</v>
      </c>
      <c r="J1937" s="51">
        <v>3000</v>
      </c>
      <c r="K1937" s="52">
        <v>19.5</v>
      </c>
      <c r="L1937" s="53"/>
      <c r="M1937" s="53">
        <f>L1937*K1937</f>
        <v>0</v>
      </c>
      <c r="N1937" s="35">
        <v>4607116260791</v>
      </c>
    </row>
    <row r="1938" spans="1:14" ht="36" customHeight="1" outlineLevel="3" x14ac:dyDescent="0.2">
      <c r="A1938" s="46">
        <v>15554</v>
      </c>
      <c r="B1938" s="47" t="str">
        <f>HYPERLINK("http://sedek.ru/upload/iblock/1dd/tomat_mechta_ogorodnika.jpg","фото")</f>
        <v>фото</v>
      </c>
      <c r="C1938" s="48"/>
      <c r="D1938" s="48"/>
      <c r="E1938" s="49"/>
      <c r="F1938" s="49" t="s">
        <v>2374</v>
      </c>
      <c r="G1938" s="56">
        <v>0.1</v>
      </c>
      <c r="H1938" s="49"/>
      <c r="I1938" s="49" t="s">
        <v>102</v>
      </c>
      <c r="J1938" s="51">
        <v>3000</v>
      </c>
      <c r="K1938" s="52">
        <v>19.5</v>
      </c>
      <c r="L1938" s="53"/>
      <c r="M1938" s="53">
        <f>L1938*K1938</f>
        <v>0</v>
      </c>
      <c r="N1938" s="35">
        <v>4607116260791</v>
      </c>
    </row>
    <row r="1939" spans="1:14" ht="48" customHeight="1" outlineLevel="3" x14ac:dyDescent="0.2">
      <c r="A1939" s="36" t="s">
        <v>2375</v>
      </c>
      <c r="B1939" s="37" t="str">
        <f>HYPERLINK("http://sedek.ru/upload/iblock/0ca/tomat_mikado_korichnevyy.jpg","фото")</f>
        <v>фото</v>
      </c>
      <c r="C1939" s="38" t="s">
        <v>266</v>
      </c>
      <c r="D1939" s="38"/>
      <c r="E1939" s="39" t="s">
        <v>2093</v>
      </c>
      <c r="F1939" s="39" t="s">
        <v>2376</v>
      </c>
      <c r="G1939" s="44">
        <v>0.1</v>
      </c>
      <c r="H1939" s="39" t="s">
        <v>101</v>
      </c>
      <c r="I1939" s="39" t="s">
        <v>102</v>
      </c>
      <c r="J1939" s="41">
        <v>3000</v>
      </c>
      <c r="K1939" s="42">
        <v>46.1</v>
      </c>
      <c r="L1939" s="43"/>
      <c r="M1939" s="43">
        <f>L1939*K1939</f>
        <v>0</v>
      </c>
      <c r="N1939" s="35">
        <v>4690368039512</v>
      </c>
    </row>
    <row r="1940" spans="1:14" ht="36" customHeight="1" outlineLevel="3" x14ac:dyDescent="0.2">
      <c r="A1940" s="45">
        <v>14660</v>
      </c>
      <c r="B1940" s="37" t="str">
        <f>HYPERLINK("http://sedek.ru/upload/iblock/2a7/tomat_mikado_rozovyy.jpg","фото")</f>
        <v>фото</v>
      </c>
      <c r="C1940" s="38"/>
      <c r="D1940" s="38"/>
      <c r="E1940" s="39"/>
      <c r="F1940" s="39" t="s">
        <v>2377</v>
      </c>
      <c r="G1940" s="44">
        <v>0.1</v>
      </c>
      <c r="H1940" s="39" t="s">
        <v>101</v>
      </c>
      <c r="I1940" s="39" t="s">
        <v>102</v>
      </c>
      <c r="J1940" s="41">
        <v>4000</v>
      </c>
      <c r="K1940" s="42">
        <v>19.5</v>
      </c>
      <c r="L1940" s="43"/>
      <c r="M1940" s="43">
        <f>L1940*K1940</f>
        <v>0</v>
      </c>
      <c r="N1940" s="35">
        <v>4607116260814</v>
      </c>
    </row>
    <row r="1941" spans="1:14" ht="36" customHeight="1" outlineLevel="3" x14ac:dyDescent="0.2">
      <c r="A1941" s="36" t="s">
        <v>2378</v>
      </c>
      <c r="B1941" s="37" t="str">
        <f>HYPERLINK("http://www.sedek.ru/upload/iblock/06e/2kop1n0g8cyzj4lam3nl6hlfum60nkii/tomat_mikado_shokoladnyy.png","фото")</f>
        <v>фото</v>
      </c>
      <c r="C1941" s="38" t="s">
        <v>266</v>
      </c>
      <c r="D1941" s="38"/>
      <c r="E1941" s="39" t="s">
        <v>2093</v>
      </c>
      <c r="F1941" s="39" t="s">
        <v>2379</v>
      </c>
      <c r="G1941" s="54">
        <v>0.05</v>
      </c>
      <c r="H1941" s="39"/>
      <c r="I1941" s="39" t="s">
        <v>102</v>
      </c>
      <c r="J1941" s="41">
        <v>5000</v>
      </c>
      <c r="K1941" s="42">
        <v>46.1</v>
      </c>
      <c r="L1941" s="43"/>
      <c r="M1941" s="43">
        <f>L1941*K1941</f>
        <v>0</v>
      </c>
      <c r="N1941" s="35">
        <v>4690368043014</v>
      </c>
    </row>
    <row r="1942" spans="1:14" ht="24" customHeight="1" outlineLevel="3" x14ac:dyDescent="0.2">
      <c r="A1942" s="45">
        <v>14138</v>
      </c>
      <c r="B1942" s="37" t="str">
        <f>HYPERLINK("http://www.sedek.ru/upload/iblock/aae/tomat_milashka.jpg","фото")</f>
        <v>фото</v>
      </c>
      <c r="C1942" s="38"/>
      <c r="D1942" s="38" t="s">
        <v>266</v>
      </c>
      <c r="E1942" s="39"/>
      <c r="F1942" s="39" t="s">
        <v>2380</v>
      </c>
      <c r="G1942" s="44">
        <v>0.2</v>
      </c>
      <c r="H1942" s="39" t="s">
        <v>101</v>
      </c>
      <c r="I1942" s="39" t="s">
        <v>102</v>
      </c>
      <c r="J1942" s="41">
        <v>3000</v>
      </c>
      <c r="K1942" s="42">
        <v>19.5</v>
      </c>
      <c r="L1942" s="43"/>
      <c r="M1942" s="43">
        <f>L1942*K1942</f>
        <v>0</v>
      </c>
      <c r="N1942" s="35">
        <v>4607015185515</v>
      </c>
    </row>
    <row r="1943" spans="1:14" ht="24" customHeight="1" outlineLevel="3" x14ac:dyDescent="0.2">
      <c r="A1943" s="45">
        <v>16041</v>
      </c>
      <c r="B1943" s="37" t="str">
        <f>HYPERLINK("http://sedek.ru/upload/iblock/379/tomat_minibel.jpg","фото")</f>
        <v>фото</v>
      </c>
      <c r="C1943" s="38"/>
      <c r="D1943" s="38"/>
      <c r="E1943" s="39"/>
      <c r="F1943" s="39" t="s">
        <v>2381</v>
      </c>
      <c r="G1943" s="44">
        <v>0.1</v>
      </c>
      <c r="H1943" s="39" t="s">
        <v>101</v>
      </c>
      <c r="I1943" s="39" t="s">
        <v>102</v>
      </c>
      <c r="J1943" s="41">
        <v>4000</v>
      </c>
      <c r="K1943" s="42">
        <v>20.5</v>
      </c>
      <c r="L1943" s="43"/>
      <c r="M1943" s="43">
        <f>L1943*K1943</f>
        <v>0</v>
      </c>
      <c r="N1943" s="35">
        <v>4607116260852</v>
      </c>
    </row>
    <row r="1944" spans="1:14" ht="24" customHeight="1" outlineLevel="3" x14ac:dyDescent="0.2">
      <c r="A1944" s="45">
        <v>16041</v>
      </c>
      <c r="B1944" s="37" t="str">
        <f>HYPERLINK("http://sedek.ru/upload/iblock/379/tomat_minibel.jpg","фото")</f>
        <v>фото</v>
      </c>
      <c r="C1944" s="38"/>
      <c r="D1944" s="38"/>
      <c r="E1944" s="39"/>
      <c r="F1944" s="39" t="s">
        <v>2382</v>
      </c>
      <c r="G1944" s="44">
        <v>0.1</v>
      </c>
      <c r="H1944" s="39" t="s">
        <v>101</v>
      </c>
      <c r="I1944" s="39" t="s">
        <v>287</v>
      </c>
      <c r="J1944" s="41">
        <v>4000</v>
      </c>
      <c r="K1944" s="42">
        <v>8</v>
      </c>
      <c r="L1944" s="43"/>
      <c r="M1944" s="43">
        <f>L1944*K1944</f>
        <v>0</v>
      </c>
      <c r="N1944" s="35">
        <v>4690368013437</v>
      </c>
    </row>
    <row r="1945" spans="1:14" ht="24" customHeight="1" outlineLevel="3" x14ac:dyDescent="0.2">
      <c r="A1945" s="45">
        <v>15275</v>
      </c>
      <c r="B1945" s="37" t="str">
        <f>HYPERLINK("http://sedek.ru/upload/iblock/254/tomat_minigold.jpg","фото")</f>
        <v>фото</v>
      </c>
      <c r="C1945" s="38"/>
      <c r="D1945" s="38"/>
      <c r="E1945" s="39"/>
      <c r="F1945" s="39" t="s">
        <v>2383</v>
      </c>
      <c r="G1945" s="44">
        <v>0.1</v>
      </c>
      <c r="H1945" s="39" t="s">
        <v>101</v>
      </c>
      <c r="I1945" s="39" t="s">
        <v>102</v>
      </c>
      <c r="J1945" s="41">
        <v>4000</v>
      </c>
      <c r="K1945" s="42">
        <v>19.5</v>
      </c>
      <c r="L1945" s="43"/>
      <c r="M1945" s="43">
        <f>L1945*K1945</f>
        <v>0</v>
      </c>
      <c r="N1945" s="35">
        <v>4607116260869</v>
      </c>
    </row>
    <row r="1946" spans="1:14" ht="24" customHeight="1" outlineLevel="3" x14ac:dyDescent="0.2">
      <c r="A1946" s="45">
        <v>13509</v>
      </c>
      <c r="B1946" s="37" t="str">
        <f>HYPERLINK("http://sedek.ru/upload/iblock/034/tomat_mikhey_f1.jpg","фото")</f>
        <v>фото</v>
      </c>
      <c r="C1946" s="38"/>
      <c r="D1946" s="38" t="s">
        <v>266</v>
      </c>
      <c r="E1946" s="39"/>
      <c r="F1946" s="39" t="s">
        <v>2384</v>
      </c>
      <c r="G1946" s="54">
        <v>0.05</v>
      </c>
      <c r="H1946" s="39" t="s">
        <v>101</v>
      </c>
      <c r="I1946" s="39" t="s">
        <v>102</v>
      </c>
      <c r="J1946" s="41">
        <v>5000</v>
      </c>
      <c r="K1946" s="42">
        <v>39.200000000000003</v>
      </c>
      <c r="L1946" s="43"/>
      <c r="M1946" s="43">
        <f>L1946*K1946</f>
        <v>0</v>
      </c>
      <c r="N1946" s="35">
        <v>4607116260883</v>
      </c>
    </row>
    <row r="1947" spans="1:14" ht="36" customHeight="1" outlineLevel="3" x14ac:dyDescent="0.2">
      <c r="A1947" s="45">
        <v>15739</v>
      </c>
      <c r="B1947" s="37" t="str">
        <f>HYPERLINK("http://sedek.ru/upload/iblock/4dc/tomat_mona_liza.jpg","фото")</f>
        <v>фото</v>
      </c>
      <c r="C1947" s="38"/>
      <c r="D1947" s="38"/>
      <c r="E1947" s="39"/>
      <c r="F1947" s="39" t="s">
        <v>2385</v>
      </c>
      <c r="G1947" s="44">
        <v>0.2</v>
      </c>
      <c r="H1947" s="39" t="s">
        <v>101</v>
      </c>
      <c r="I1947" s="39" t="s">
        <v>102</v>
      </c>
      <c r="J1947" s="41">
        <v>3000</v>
      </c>
      <c r="K1947" s="42">
        <v>19.5</v>
      </c>
      <c r="L1947" s="43"/>
      <c r="M1947" s="43">
        <f>L1947*K1947</f>
        <v>0</v>
      </c>
      <c r="N1947" s="35">
        <v>4607116260890</v>
      </c>
    </row>
    <row r="1948" spans="1:14" ht="36" customHeight="1" outlineLevel="3" x14ac:dyDescent="0.2">
      <c r="A1948" s="45">
        <v>15739</v>
      </c>
      <c r="B1948" s="37" t="str">
        <f>HYPERLINK("http://sedek.ru/upload/iblock/4dc/tomat_mona_liza.jpg","фото")</f>
        <v>фото</v>
      </c>
      <c r="C1948" s="38"/>
      <c r="D1948" s="38"/>
      <c r="E1948" s="39"/>
      <c r="F1948" s="39" t="s">
        <v>2386</v>
      </c>
      <c r="G1948" s="44">
        <v>0.2</v>
      </c>
      <c r="H1948" s="39" t="s">
        <v>101</v>
      </c>
      <c r="I1948" s="39" t="s">
        <v>287</v>
      </c>
      <c r="J1948" s="41">
        <v>3000</v>
      </c>
      <c r="K1948" s="42">
        <v>7.4</v>
      </c>
      <c r="L1948" s="43"/>
      <c r="M1948" s="43">
        <f>L1948*K1948</f>
        <v>0</v>
      </c>
      <c r="N1948" s="35">
        <v>4690368013451</v>
      </c>
    </row>
    <row r="1949" spans="1:14" ht="36" customHeight="1" outlineLevel="3" x14ac:dyDescent="0.2">
      <c r="A1949" s="36" t="s">
        <v>2387</v>
      </c>
      <c r="B1949" s="37" t="str">
        <f>HYPERLINK("http://www.sedek.ru/upload/iblock/66c/tomat_morkovnyy.jpg","фото")</f>
        <v>фото</v>
      </c>
      <c r="C1949" s="38"/>
      <c r="D1949" s="38"/>
      <c r="E1949" s="39"/>
      <c r="F1949" s="39" t="s">
        <v>2388</v>
      </c>
      <c r="G1949" s="44">
        <v>0.1</v>
      </c>
      <c r="H1949" s="39" t="s">
        <v>101</v>
      </c>
      <c r="I1949" s="39" t="s">
        <v>102</v>
      </c>
      <c r="J1949" s="41">
        <v>4000</v>
      </c>
      <c r="K1949" s="42">
        <v>20.5</v>
      </c>
      <c r="L1949" s="43"/>
      <c r="M1949" s="43">
        <f>L1949*K1949</f>
        <v>0</v>
      </c>
      <c r="N1949" s="35">
        <v>4690368030649</v>
      </c>
    </row>
    <row r="1950" spans="1:14" ht="24" customHeight="1" outlineLevel="3" x14ac:dyDescent="0.2">
      <c r="A1950" s="45">
        <v>15830</v>
      </c>
      <c r="B1950" s="37" t="str">
        <f>HYPERLINK("http://sedek.ru/upload/iblock/115/tomat_moskvich.jpg","фото")</f>
        <v>фото</v>
      </c>
      <c r="C1950" s="38"/>
      <c r="D1950" s="38"/>
      <c r="E1950" s="39"/>
      <c r="F1950" s="39" t="s">
        <v>2389</v>
      </c>
      <c r="G1950" s="44">
        <v>0.1</v>
      </c>
      <c r="H1950" s="39" t="s">
        <v>101</v>
      </c>
      <c r="I1950" s="39" t="s">
        <v>102</v>
      </c>
      <c r="J1950" s="41">
        <v>4000</v>
      </c>
      <c r="K1950" s="42">
        <v>15.6</v>
      </c>
      <c r="L1950" s="43"/>
      <c r="M1950" s="43">
        <f>L1950*K1950</f>
        <v>0</v>
      </c>
      <c r="N1950" s="35">
        <v>4607116260913</v>
      </c>
    </row>
    <row r="1951" spans="1:14" ht="24" customHeight="1" outlineLevel="3" x14ac:dyDescent="0.2">
      <c r="A1951" s="45">
        <v>15830</v>
      </c>
      <c r="B1951" s="37" t="str">
        <f>HYPERLINK("http://sedek.ru/upload/iblock/115/tomat_moskvich.jpg","фото")</f>
        <v>фото</v>
      </c>
      <c r="C1951" s="38"/>
      <c r="D1951" s="38"/>
      <c r="E1951" s="39"/>
      <c r="F1951" s="39" t="s">
        <v>2390</v>
      </c>
      <c r="G1951" s="44">
        <v>0.1</v>
      </c>
      <c r="H1951" s="39" t="s">
        <v>101</v>
      </c>
      <c r="I1951" s="39" t="s">
        <v>287</v>
      </c>
      <c r="J1951" s="41">
        <v>4000</v>
      </c>
      <c r="K1951" s="42">
        <v>7</v>
      </c>
      <c r="L1951" s="43"/>
      <c r="M1951" s="43">
        <f>L1951*K1951</f>
        <v>0</v>
      </c>
      <c r="N1951" s="35">
        <v>4690368013468</v>
      </c>
    </row>
    <row r="1952" spans="1:14" ht="36" customHeight="1" outlineLevel="3" x14ac:dyDescent="0.2">
      <c r="A1952" s="45">
        <v>16171</v>
      </c>
      <c r="B1952" s="37" t="str">
        <f>HYPERLINK("http://sedek.ru/upload/iblock/78c/tomat_moskovskiy_skorospelyy.jpg","фото")</f>
        <v>фото</v>
      </c>
      <c r="C1952" s="38"/>
      <c r="D1952" s="38"/>
      <c r="E1952" s="39" t="s">
        <v>2090</v>
      </c>
      <c r="F1952" s="39" t="s">
        <v>2391</v>
      </c>
      <c r="G1952" s="44">
        <v>0.1</v>
      </c>
      <c r="H1952" s="39" t="s">
        <v>101</v>
      </c>
      <c r="I1952" s="39" t="s">
        <v>102</v>
      </c>
      <c r="J1952" s="41">
        <v>4000</v>
      </c>
      <c r="K1952" s="42">
        <v>20.6</v>
      </c>
      <c r="L1952" s="43"/>
      <c r="M1952" s="43">
        <f>L1952*K1952</f>
        <v>0</v>
      </c>
      <c r="N1952" s="35">
        <v>4607116260920</v>
      </c>
    </row>
    <row r="1953" spans="1:14" ht="36" customHeight="1" outlineLevel="3" x14ac:dyDescent="0.2">
      <c r="A1953" s="45">
        <v>14831</v>
      </c>
      <c r="B1953" s="37" t="str">
        <f>HYPERLINK("http://sedek.ru/upload/iblock/a88/tomat_moya_radost_f1.jpg","фото")</f>
        <v>фото</v>
      </c>
      <c r="C1953" s="38"/>
      <c r="D1953" s="38"/>
      <c r="E1953" s="39"/>
      <c r="F1953" s="39" t="s">
        <v>2392</v>
      </c>
      <c r="G1953" s="54">
        <v>0.05</v>
      </c>
      <c r="H1953" s="39" t="s">
        <v>101</v>
      </c>
      <c r="I1953" s="39" t="s">
        <v>102</v>
      </c>
      <c r="J1953" s="41">
        <v>5000</v>
      </c>
      <c r="K1953" s="42">
        <v>37.200000000000003</v>
      </c>
      <c r="L1953" s="43"/>
      <c r="M1953" s="43">
        <f>L1953*K1953</f>
        <v>0</v>
      </c>
      <c r="N1953" s="35">
        <v>4607015185522</v>
      </c>
    </row>
    <row r="1954" spans="1:14" ht="24" customHeight="1" outlineLevel="3" x14ac:dyDescent="0.2">
      <c r="A1954" s="45">
        <v>14519</v>
      </c>
      <c r="B1954" s="37" t="str">
        <f>HYPERLINK("http://sedek.ru/upload/iblock/fff/tomat_muzhenek_f1.jpg","фото")</f>
        <v>фото</v>
      </c>
      <c r="C1954" s="38"/>
      <c r="D1954" s="38"/>
      <c r="E1954" s="39"/>
      <c r="F1954" s="39" t="s">
        <v>2393</v>
      </c>
      <c r="G1954" s="54">
        <v>0.03</v>
      </c>
      <c r="H1954" s="39" t="s">
        <v>101</v>
      </c>
      <c r="I1954" s="39" t="s">
        <v>102</v>
      </c>
      <c r="J1954" s="41">
        <v>5000</v>
      </c>
      <c r="K1954" s="42">
        <v>47.1</v>
      </c>
      <c r="L1954" s="43"/>
      <c r="M1954" s="43">
        <f>L1954*K1954</f>
        <v>0</v>
      </c>
      <c r="N1954" s="35">
        <v>4690368007672</v>
      </c>
    </row>
    <row r="1955" spans="1:14" ht="24" customHeight="1" outlineLevel="3" x14ac:dyDescent="0.2">
      <c r="A1955" s="45">
        <v>16093</v>
      </c>
      <c r="B1955" s="37" t="str">
        <f>HYPERLINK("http://sedek.ru/upload/iblock/fef/tomat_nadezhda_f1.jpg","фото")</f>
        <v>фото</v>
      </c>
      <c r="C1955" s="38"/>
      <c r="D1955" s="38"/>
      <c r="E1955" s="39"/>
      <c r="F1955" s="39" t="s">
        <v>2394</v>
      </c>
      <c r="G1955" s="54">
        <v>0.05</v>
      </c>
      <c r="H1955" s="39" t="s">
        <v>101</v>
      </c>
      <c r="I1955" s="39" t="s">
        <v>102</v>
      </c>
      <c r="J1955" s="41">
        <v>4000</v>
      </c>
      <c r="K1955" s="42">
        <v>37.299999999999997</v>
      </c>
      <c r="L1955" s="43"/>
      <c r="M1955" s="43">
        <f>L1955*K1955</f>
        <v>0</v>
      </c>
      <c r="N1955" s="35">
        <v>4690368022262</v>
      </c>
    </row>
    <row r="1956" spans="1:14" ht="36" customHeight="1" outlineLevel="3" x14ac:dyDescent="0.2">
      <c r="A1956" s="45">
        <v>15067</v>
      </c>
      <c r="B1956" s="37" t="str">
        <f>HYPERLINK("http://sedek.ru/upload/iblock/80d/tomat_nastya_slastena_f1.jpg","фото")</f>
        <v>фото</v>
      </c>
      <c r="C1956" s="38"/>
      <c r="D1956" s="38"/>
      <c r="E1956" s="39" t="s">
        <v>2173</v>
      </c>
      <c r="F1956" s="39" t="s">
        <v>2395</v>
      </c>
      <c r="G1956" s="59">
        <v>2.5000000000000001E-2</v>
      </c>
      <c r="H1956" s="39"/>
      <c r="I1956" s="39" t="s">
        <v>102</v>
      </c>
      <c r="J1956" s="41">
        <v>5000</v>
      </c>
      <c r="K1956" s="42">
        <v>47.2</v>
      </c>
      <c r="L1956" s="43"/>
      <c r="M1956" s="43">
        <f>L1956*K1956</f>
        <v>0</v>
      </c>
      <c r="N1956" s="35">
        <v>4607149406388</v>
      </c>
    </row>
    <row r="1957" spans="1:14" ht="36" customHeight="1" outlineLevel="3" x14ac:dyDescent="0.2">
      <c r="A1957" s="45">
        <v>14170</v>
      </c>
      <c r="B1957" s="37" t="str">
        <f>HYPERLINK("http://sedek.ru/upload/iblock/70d/tomat_natashenka_f1.jpg","фото")</f>
        <v>фото</v>
      </c>
      <c r="C1957" s="38"/>
      <c r="D1957" s="38" t="s">
        <v>266</v>
      </c>
      <c r="E1957" s="39"/>
      <c r="F1957" s="39" t="s">
        <v>2396</v>
      </c>
      <c r="G1957" s="54">
        <v>0.05</v>
      </c>
      <c r="H1957" s="39" t="s">
        <v>101</v>
      </c>
      <c r="I1957" s="39" t="s">
        <v>102</v>
      </c>
      <c r="J1957" s="41">
        <v>5000</v>
      </c>
      <c r="K1957" s="42">
        <v>42.8</v>
      </c>
      <c r="L1957" s="43"/>
      <c r="M1957" s="43">
        <f>L1957*K1957</f>
        <v>0</v>
      </c>
      <c r="N1957" s="35">
        <v>4607149404988</v>
      </c>
    </row>
    <row r="1958" spans="1:14" ht="36" customHeight="1" outlineLevel="3" x14ac:dyDescent="0.2">
      <c r="A1958" s="45">
        <v>13477</v>
      </c>
      <c r="B1958" s="37" t="str">
        <f>HYPERLINK("http://sedek.ru/upload/iblock/89f/tomat_nevestushka_f1.jpg","фото")</f>
        <v>фото</v>
      </c>
      <c r="C1958" s="38"/>
      <c r="D1958" s="38"/>
      <c r="E1958" s="39"/>
      <c r="F1958" s="39" t="s">
        <v>2397</v>
      </c>
      <c r="G1958" s="54">
        <v>0.05</v>
      </c>
      <c r="H1958" s="39" t="s">
        <v>101</v>
      </c>
      <c r="I1958" s="39" t="s">
        <v>102</v>
      </c>
      <c r="J1958" s="41">
        <v>5000</v>
      </c>
      <c r="K1958" s="42">
        <v>33.799999999999997</v>
      </c>
      <c r="L1958" s="43"/>
      <c r="M1958" s="43">
        <f>L1958*K1958</f>
        <v>0</v>
      </c>
      <c r="N1958" s="35">
        <v>4690368009843</v>
      </c>
    </row>
    <row r="1959" spans="1:14" ht="36" customHeight="1" outlineLevel="3" x14ac:dyDescent="0.2">
      <c r="A1959" s="36" t="s">
        <v>2398</v>
      </c>
      <c r="B1959" s="37" t="str">
        <f>HYPERLINK("http://www.sedek.ru/upload/iblock/014/tomat_nepas_nepasynkuyushchiysya.jpg","фото")</f>
        <v>фото</v>
      </c>
      <c r="C1959" s="38"/>
      <c r="D1959" s="38"/>
      <c r="E1959" s="39" t="s">
        <v>2399</v>
      </c>
      <c r="F1959" s="39" t="s">
        <v>2400</v>
      </c>
      <c r="G1959" s="44">
        <v>0.1</v>
      </c>
      <c r="H1959" s="39" t="s">
        <v>101</v>
      </c>
      <c r="I1959" s="39" t="s">
        <v>102</v>
      </c>
      <c r="J1959" s="41">
        <v>4000</v>
      </c>
      <c r="K1959" s="42">
        <v>22.9</v>
      </c>
      <c r="L1959" s="43"/>
      <c r="M1959" s="43">
        <f>L1959*K1959</f>
        <v>0</v>
      </c>
      <c r="N1959" s="35">
        <v>4690368031035</v>
      </c>
    </row>
    <row r="1960" spans="1:14" ht="36" customHeight="1" outlineLevel="3" x14ac:dyDescent="0.2">
      <c r="A1960" s="36" t="s">
        <v>2401</v>
      </c>
      <c r="B1960" s="37" t="str">
        <f>HYPERLINK("http://www.sedek.ru/upload/iblock/617/tomat_nepas_2_nepasynkuyushchiysya_malinovyy.jpg","фото")</f>
        <v>фото</v>
      </c>
      <c r="C1960" s="38"/>
      <c r="D1960" s="38"/>
      <c r="E1960" s="39" t="s">
        <v>2399</v>
      </c>
      <c r="F1960" s="39" t="s">
        <v>2402</v>
      </c>
      <c r="G1960" s="44">
        <v>0.1</v>
      </c>
      <c r="H1960" s="39" t="s">
        <v>101</v>
      </c>
      <c r="I1960" s="39" t="s">
        <v>102</v>
      </c>
      <c r="J1960" s="41">
        <v>4000</v>
      </c>
      <c r="K1960" s="42">
        <v>25.3</v>
      </c>
      <c r="L1960" s="43"/>
      <c r="M1960" s="43">
        <f>L1960*K1960</f>
        <v>0</v>
      </c>
      <c r="N1960" s="35">
        <v>4690368031042</v>
      </c>
    </row>
    <row r="1961" spans="1:14" ht="36" customHeight="1" outlineLevel="3" x14ac:dyDescent="0.2">
      <c r="A1961" s="36" t="s">
        <v>2403</v>
      </c>
      <c r="B1961" s="37" t="str">
        <f>HYPERLINK("http://www.sedek.ru/upload/iblock/b1c/tomat_nepas_3_nepasynkuyushchiysya_rozovyy.jpg","фото")</f>
        <v>фото</v>
      </c>
      <c r="C1961" s="38"/>
      <c r="D1961" s="38"/>
      <c r="E1961" s="39" t="s">
        <v>2399</v>
      </c>
      <c r="F1961" s="39" t="s">
        <v>2404</v>
      </c>
      <c r="G1961" s="44">
        <v>0.1</v>
      </c>
      <c r="H1961" s="39" t="s">
        <v>101</v>
      </c>
      <c r="I1961" s="39" t="s">
        <v>102</v>
      </c>
      <c r="J1961" s="41">
        <v>4000</v>
      </c>
      <c r="K1961" s="42">
        <v>24.1</v>
      </c>
      <c r="L1961" s="43"/>
      <c r="M1961" s="43">
        <f>L1961*K1961</f>
        <v>0</v>
      </c>
      <c r="N1961" s="35">
        <v>4690368031059</v>
      </c>
    </row>
    <row r="1962" spans="1:14" ht="48" customHeight="1" outlineLevel="3" x14ac:dyDescent="0.2">
      <c r="A1962" s="36" t="s">
        <v>2405</v>
      </c>
      <c r="B1962" s="37" t="str">
        <f>HYPERLINK("http://www.sedek.ru/upload/iblock/9c8/tomat_nepas_4_nepasynkuyushchiysya_oranzhevyy_serdtsevidnyy_.jpg","фото")</f>
        <v>фото</v>
      </c>
      <c r="C1962" s="38"/>
      <c r="D1962" s="38"/>
      <c r="E1962" s="39" t="s">
        <v>2399</v>
      </c>
      <c r="F1962" s="39" t="s">
        <v>2406</v>
      </c>
      <c r="G1962" s="44">
        <v>0.1</v>
      </c>
      <c r="H1962" s="39" t="s">
        <v>101</v>
      </c>
      <c r="I1962" s="39" t="s">
        <v>102</v>
      </c>
      <c r="J1962" s="41">
        <v>4000</v>
      </c>
      <c r="K1962" s="42">
        <v>30.5</v>
      </c>
      <c r="L1962" s="43"/>
      <c r="M1962" s="43">
        <f>L1962*K1962</f>
        <v>0</v>
      </c>
      <c r="N1962" s="35">
        <v>4690368031066</v>
      </c>
    </row>
    <row r="1963" spans="1:14" ht="36" customHeight="1" outlineLevel="3" x14ac:dyDescent="0.2">
      <c r="A1963" s="36" t="s">
        <v>2407</v>
      </c>
      <c r="B1963" s="37" t="str">
        <f>HYPERLINK("http://www.sedek.ru/upload/iblock/36b/tomat_nepas_5_nepasynkuyushchiysya_oranzhevyy_s_nosikom.jpg","Фото")</f>
        <v>Фото</v>
      </c>
      <c r="C1963" s="38"/>
      <c r="D1963" s="38"/>
      <c r="E1963" s="39" t="s">
        <v>2399</v>
      </c>
      <c r="F1963" s="39" t="s">
        <v>2408</v>
      </c>
      <c r="G1963" s="44">
        <v>0.1</v>
      </c>
      <c r="H1963" s="39" t="s">
        <v>101</v>
      </c>
      <c r="I1963" s="39" t="s">
        <v>102</v>
      </c>
      <c r="J1963" s="41">
        <v>4000</v>
      </c>
      <c r="K1963" s="42">
        <v>30.5</v>
      </c>
      <c r="L1963" s="43"/>
      <c r="M1963" s="43">
        <f>L1963*K1963</f>
        <v>0</v>
      </c>
      <c r="N1963" s="35">
        <v>4690368031073</v>
      </c>
    </row>
    <row r="1964" spans="1:14" ht="36" customHeight="1" outlineLevel="3" x14ac:dyDescent="0.2">
      <c r="A1964" s="36" t="s">
        <v>2409</v>
      </c>
      <c r="B1964" s="37" t="str">
        <f>HYPERLINK("http://www.sedek.ru/upload/iblock/0e1/tomat_nepas_6_nepasynkuyushchiysya_krasnyy_s_nosikom_f1.jpg","фото")</f>
        <v>фото</v>
      </c>
      <c r="C1964" s="38"/>
      <c r="D1964" s="38"/>
      <c r="E1964" s="39" t="s">
        <v>2399</v>
      </c>
      <c r="F1964" s="39" t="s">
        <v>2410</v>
      </c>
      <c r="G1964" s="44">
        <v>0.1</v>
      </c>
      <c r="H1964" s="39" t="s">
        <v>101</v>
      </c>
      <c r="I1964" s="39" t="s">
        <v>102</v>
      </c>
      <c r="J1964" s="41">
        <v>4000</v>
      </c>
      <c r="K1964" s="42">
        <v>25.3</v>
      </c>
      <c r="L1964" s="43"/>
      <c r="M1964" s="43">
        <f>L1964*K1964</f>
        <v>0</v>
      </c>
      <c r="N1964" s="35">
        <v>4690368031080</v>
      </c>
    </row>
    <row r="1965" spans="1:14" ht="36" customHeight="1" outlineLevel="3" x14ac:dyDescent="0.2">
      <c r="A1965" s="36" t="s">
        <v>2411</v>
      </c>
      <c r="B1965" s="37" t="str">
        <f>HYPERLINK("http://www.sedek.ru/upload/iblock/a73/tomat_nepas_7_nepasynkuyushchiysya_gigantskiy.jpg","Фото")</f>
        <v>Фото</v>
      </c>
      <c r="C1965" s="38"/>
      <c r="D1965" s="38"/>
      <c r="E1965" s="39" t="s">
        <v>2399</v>
      </c>
      <c r="F1965" s="39" t="s">
        <v>2412</v>
      </c>
      <c r="G1965" s="44">
        <v>0.1</v>
      </c>
      <c r="H1965" s="39" t="s">
        <v>101</v>
      </c>
      <c r="I1965" s="39" t="s">
        <v>102</v>
      </c>
      <c r="J1965" s="41">
        <v>4000</v>
      </c>
      <c r="K1965" s="42">
        <v>25.3</v>
      </c>
      <c r="L1965" s="43"/>
      <c r="M1965" s="43">
        <f>L1965*K1965</f>
        <v>0</v>
      </c>
      <c r="N1965" s="35">
        <v>4690368031097</v>
      </c>
    </row>
    <row r="1966" spans="1:14" ht="36" customHeight="1" outlineLevel="3" x14ac:dyDescent="0.2">
      <c r="A1966" s="36" t="s">
        <v>2413</v>
      </c>
      <c r="B1966" s="37" t="str">
        <f>HYPERLINK("http://sedek.ru/upload/iblock/a7e/tomat_nepas_8_nepasynkuyushchiysya_morkovnyy.jpg","фото")</f>
        <v>фото</v>
      </c>
      <c r="C1966" s="38"/>
      <c r="D1966" s="38"/>
      <c r="E1966" s="39" t="s">
        <v>2399</v>
      </c>
      <c r="F1966" s="39" t="s">
        <v>2414</v>
      </c>
      <c r="G1966" s="44">
        <v>0.1</v>
      </c>
      <c r="H1966" s="39" t="s">
        <v>101</v>
      </c>
      <c r="I1966" s="39" t="s">
        <v>102</v>
      </c>
      <c r="J1966" s="41">
        <v>4000</v>
      </c>
      <c r="K1966" s="42">
        <v>24.1</v>
      </c>
      <c r="L1966" s="43"/>
      <c r="M1966" s="43">
        <f>L1966*K1966</f>
        <v>0</v>
      </c>
      <c r="N1966" s="35">
        <v>4690368031103</v>
      </c>
    </row>
    <row r="1967" spans="1:14" ht="36" customHeight="1" outlineLevel="3" x14ac:dyDescent="0.2">
      <c r="A1967" s="36" t="s">
        <v>2415</v>
      </c>
      <c r="B1967" s="37" t="str">
        <f>HYPERLINK("http://sedek.ru/upload/iblock/ab9/tomat_nepas_9_nepasynkuyushchiysya_udlinennyy.jpg","фото")</f>
        <v>фото</v>
      </c>
      <c r="C1967" s="38"/>
      <c r="D1967" s="38"/>
      <c r="E1967" s="39" t="s">
        <v>2399</v>
      </c>
      <c r="F1967" s="39" t="s">
        <v>2416</v>
      </c>
      <c r="G1967" s="44">
        <v>0.1</v>
      </c>
      <c r="H1967" s="39" t="s">
        <v>101</v>
      </c>
      <c r="I1967" s="39" t="s">
        <v>102</v>
      </c>
      <c r="J1967" s="41">
        <v>4000</v>
      </c>
      <c r="K1967" s="42">
        <v>24.1</v>
      </c>
      <c r="L1967" s="43"/>
      <c r="M1967" s="43">
        <f>L1967*K1967</f>
        <v>0</v>
      </c>
      <c r="N1967" s="35">
        <v>4690368031110</v>
      </c>
    </row>
    <row r="1968" spans="1:14" ht="36" customHeight="1" outlineLevel="3" x14ac:dyDescent="0.2">
      <c r="A1968" s="36" t="s">
        <v>2417</v>
      </c>
      <c r="B1968" s="37" t="str">
        <f>HYPERLINK("http://www.sedek.ru/upload/iblock/51b/tomat_nepas_10_nepasynkuyushchiysya_polosatyy_.jpg","фото")</f>
        <v>фото</v>
      </c>
      <c r="C1968" s="38"/>
      <c r="D1968" s="38"/>
      <c r="E1968" s="39" t="s">
        <v>2399</v>
      </c>
      <c r="F1968" s="39" t="s">
        <v>2418</v>
      </c>
      <c r="G1968" s="44">
        <v>0.1</v>
      </c>
      <c r="H1968" s="39" t="s">
        <v>101</v>
      </c>
      <c r="I1968" s="39" t="s">
        <v>102</v>
      </c>
      <c r="J1968" s="41">
        <v>4000</v>
      </c>
      <c r="K1968" s="42">
        <v>24.1</v>
      </c>
      <c r="L1968" s="43"/>
      <c r="M1968" s="43">
        <f>L1968*K1968</f>
        <v>0</v>
      </c>
      <c r="N1968" s="35">
        <v>4690368031127</v>
      </c>
    </row>
    <row r="1969" spans="1:14" ht="36" customHeight="1" outlineLevel="3" x14ac:dyDescent="0.2">
      <c r="A1969" s="36" t="s">
        <v>2419</v>
      </c>
      <c r="B1969" s="37" t="str">
        <f>HYPERLINK("http://www.sedek.ru/upload/iblock/259/tomat_nepas_11_nepasynkuyushchiysya_komnatnyy.jpg","Фото")</f>
        <v>Фото</v>
      </c>
      <c r="C1969" s="38"/>
      <c r="D1969" s="38"/>
      <c r="E1969" s="39" t="s">
        <v>2399</v>
      </c>
      <c r="F1969" s="39" t="s">
        <v>2420</v>
      </c>
      <c r="G1969" s="44">
        <v>0.1</v>
      </c>
      <c r="H1969" s="39" t="s">
        <v>101</v>
      </c>
      <c r="I1969" s="39" t="s">
        <v>102</v>
      </c>
      <c r="J1969" s="41">
        <v>4000</v>
      </c>
      <c r="K1969" s="42">
        <v>28.2</v>
      </c>
      <c r="L1969" s="43"/>
      <c r="M1969" s="43">
        <f>L1969*K1969</f>
        <v>0</v>
      </c>
      <c r="N1969" s="35">
        <v>4690368031134</v>
      </c>
    </row>
    <row r="1970" spans="1:14" ht="36" customHeight="1" outlineLevel="3" x14ac:dyDescent="0.2">
      <c r="A1970" s="36" t="s">
        <v>2421</v>
      </c>
      <c r="B1970" s="37" t="str">
        <f>HYPERLINK("http://www.sedek.ru/upload/iblock/259/tomat_nepas_11_nepasynkuyushchiysya_komnatnyy.jpg","Фото")</f>
        <v>Фото</v>
      </c>
      <c r="C1970" s="38"/>
      <c r="D1970" s="38"/>
      <c r="E1970" s="39" t="s">
        <v>2399</v>
      </c>
      <c r="F1970" s="39" t="s">
        <v>2420</v>
      </c>
      <c r="G1970" s="44">
        <v>0.1</v>
      </c>
      <c r="H1970" s="39"/>
      <c r="I1970" s="39" t="s">
        <v>102</v>
      </c>
      <c r="J1970" s="41">
        <v>4000</v>
      </c>
      <c r="K1970" s="42">
        <v>28.2</v>
      </c>
      <c r="L1970" s="43"/>
      <c r="M1970" s="43">
        <f>L1970*K1970</f>
        <v>0</v>
      </c>
      <c r="N1970" s="35">
        <v>4690368031134</v>
      </c>
    </row>
    <row r="1971" spans="1:14" ht="36" customHeight="1" outlineLevel="3" x14ac:dyDescent="0.2">
      <c r="A1971" s="36" t="s">
        <v>2422</v>
      </c>
      <c r="B1971" s="37" t="str">
        <f>HYPERLINK("http://sedek.ru/upload/iblock/7be/tomat_nepas_12_nepasynkuyushchiysya_krupnyy_.jpg","фото")</f>
        <v>фото</v>
      </c>
      <c r="C1971" s="38"/>
      <c r="D1971" s="38" t="s">
        <v>266</v>
      </c>
      <c r="E1971" s="39" t="s">
        <v>2399</v>
      </c>
      <c r="F1971" s="39" t="s">
        <v>2423</v>
      </c>
      <c r="G1971" s="44">
        <v>0.1</v>
      </c>
      <c r="H1971" s="39" t="s">
        <v>101</v>
      </c>
      <c r="I1971" s="39" t="s">
        <v>102</v>
      </c>
      <c r="J1971" s="41">
        <v>4000</v>
      </c>
      <c r="K1971" s="42">
        <v>21.9</v>
      </c>
      <c r="L1971" s="43"/>
      <c r="M1971" s="43">
        <f>L1971*K1971</f>
        <v>0</v>
      </c>
      <c r="N1971" s="35">
        <v>4690368031141</v>
      </c>
    </row>
    <row r="1972" spans="1:14" ht="36" customHeight="1" outlineLevel="3" x14ac:dyDescent="0.2">
      <c r="A1972" s="36" t="s">
        <v>2424</v>
      </c>
      <c r="B1972" s="37" t="str">
        <f>HYPERLINK("http://www.sedek.ru/upload/iblock/d9f/tomat_nepas_13_nepasynkuyushchiysya_slivovidnyy.jpg","Фото")</f>
        <v>Фото</v>
      </c>
      <c r="C1972" s="38"/>
      <c r="D1972" s="38" t="s">
        <v>266</v>
      </c>
      <c r="E1972" s="39" t="s">
        <v>2399</v>
      </c>
      <c r="F1972" s="39" t="s">
        <v>2425</v>
      </c>
      <c r="G1972" s="44">
        <v>0.1</v>
      </c>
      <c r="H1972" s="39" t="s">
        <v>101</v>
      </c>
      <c r="I1972" s="39" t="s">
        <v>102</v>
      </c>
      <c r="J1972" s="41">
        <v>4000</v>
      </c>
      <c r="K1972" s="42">
        <v>25.3</v>
      </c>
      <c r="L1972" s="43"/>
      <c r="M1972" s="43">
        <f>L1972*K1972</f>
        <v>0</v>
      </c>
      <c r="N1972" s="35">
        <v>4690368031158</v>
      </c>
    </row>
    <row r="1973" spans="1:14" ht="36" customHeight="1" outlineLevel="3" x14ac:dyDescent="0.2">
      <c r="A1973" s="36" t="s">
        <v>2426</v>
      </c>
      <c r="B1973" s="37" t="str">
        <f>HYPERLINK("http://www.sedek.ru/upload/iblock/cd9/tomat_nepas_14_nepasynkuyushchiysya_sakharnyy.jpg","фото")</f>
        <v>фото</v>
      </c>
      <c r="C1973" s="38"/>
      <c r="D1973" s="38" t="s">
        <v>266</v>
      </c>
      <c r="E1973" s="39" t="s">
        <v>2399</v>
      </c>
      <c r="F1973" s="39" t="s">
        <v>2427</v>
      </c>
      <c r="G1973" s="44">
        <v>0.1</v>
      </c>
      <c r="H1973" s="39" t="s">
        <v>101</v>
      </c>
      <c r="I1973" s="39" t="s">
        <v>102</v>
      </c>
      <c r="J1973" s="41">
        <v>4000</v>
      </c>
      <c r="K1973" s="42">
        <v>24.1</v>
      </c>
      <c r="L1973" s="43"/>
      <c r="M1973" s="43">
        <f>L1973*K1973</f>
        <v>0</v>
      </c>
      <c r="N1973" s="35">
        <v>4690368031165</v>
      </c>
    </row>
    <row r="1974" spans="1:14" ht="48" customHeight="1" outlineLevel="3" x14ac:dyDescent="0.2">
      <c r="A1974" s="36" t="s">
        <v>2428</v>
      </c>
      <c r="B1974" s="37" t="str">
        <f>HYPERLINK("http://www.sedek.ru/upload/iblock/28d/9098w2h0ngsednzw549ybukwn2ji92pa/tomat_nepas_15.jpg","фото")</f>
        <v>фото</v>
      </c>
      <c r="C1974" s="38" t="s">
        <v>266</v>
      </c>
      <c r="D1974" s="38"/>
      <c r="E1974" s="39" t="s">
        <v>2399</v>
      </c>
      <c r="F1974" s="39" t="s">
        <v>2429</v>
      </c>
      <c r="G1974" s="44">
        <v>0.1</v>
      </c>
      <c r="H1974" s="39"/>
      <c r="I1974" s="39" t="s">
        <v>102</v>
      </c>
      <c r="J1974" s="41">
        <v>4000</v>
      </c>
      <c r="K1974" s="42">
        <v>25.3</v>
      </c>
      <c r="L1974" s="43"/>
      <c r="M1974" s="43">
        <f>L1974*K1974</f>
        <v>0</v>
      </c>
      <c r="N1974" s="35">
        <v>4690368044707</v>
      </c>
    </row>
    <row r="1975" spans="1:14" ht="36" customHeight="1" outlineLevel="3" x14ac:dyDescent="0.2">
      <c r="A1975" s="45">
        <v>14648</v>
      </c>
      <c r="B1975" s="37" t="str">
        <f>HYPERLINK("http://sedek.ru/upload/iblock/a81/tomat_nepasynkuyushchiysya.jpg","фото")</f>
        <v>фото</v>
      </c>
      <c r="C1975" s="38"/>
      <c r="D1975" s="38"/>
      <c r="E1975" s="39" t="s">
        <v>2399</v>
      </c>
      <c r="F1975" s="39" t="s">
        <v>2430</v>
      </c>
      <c r="G1975" s="44">
        <v>0.1</v>
      </c>
      <c r="H1975" s="39" t="s">
        <v>101</v>
      </c>
      <c r="I1975" s="39" t="s">
        <v>102</v>
      </c>
      <c r="J1975" s="41">
        <v>4000</v>
      </c>
      <c r="K1975" s="42">
        <v>19.600000000000001</v>
      </c>
      <c r="L1975" s="43"/>
      <c r="M1975" s="43">
        <f>L1975*K1975</f>
        <v>0</v>
      </c>
      <c r="N1975" s="35">
        <v>4607149405022</v>
      </c>
    </row>
    <row r="1976" spans="1:14" ht="24" customHeight="1" outlineLevel="3" x14ac:dyDescent="0.2">
      <c r="A1976" s="45">
        <v>14648</v>
      </c>
      <c r="B1976" s="37" t="str">
        <f>HYPERLINK("http://sedek.ru/upload/iblock/a81/tomat_nepasynkuyushchiysya.jpg","фото")</f>
        <v>фото</v>
      </c>
      <c r="C1976" s="38"/>
      <c r="D1976" s="38"/>
      <c r="E1976" s="39" t="s">
        <v>2399</v>
      </c>
      <c r="F1976" s="39" t="s">
        <v>2431</v>
      </c>
      <c r="G1976" s="44">
        <v>0.1</v>
      </c>
      <c r="H1976" s="39" t="s">
        <v>101</v>
      </c>
      <c r="I1976" s="39" t="s">
        <v>287</v>
      </c>
      <c r="J1976" s="41">
        <v>4000</v>
      </c>
      <c r="K1976" s="42">
        <v>10.1</v>
      </c>
      <c r="L1976" s="43"/>
      <c r="M1976" s="43">
        <f>L1976*K1976</f>
        <v>0</v>
      </c>
      <c r="N1976" s="35">
        <v>4607149407583</v>
      </c>
    </row>
    <row r="1977" spans="1:14" ht="36" customHeight="1" outlineLevel="3" x14ac:dyDescent="0.2">
      <c r="A1977" s="36" t="s">
        <v>2432</v>
      </c>
      <c r="B1977" s="37" t="str">
        <f>HYPERLINK("http://www.sedek.ru/upload/iblock/523/tomat_nepas_6_nepasynkuyushchiysya_krasnyy_s_nosikom_f1.jpg","Фото")</f>
        <v>Фото</v>
      </c>
      <c r="C1977" s="38"/>
      <c r="D1977" s="38"/>
      <c r="E1977" s="39" t="s">
        <v>2399</v>
      </c>
      <c r="F1977" s="39" t="s">
        <v>2433</v>
      </c>
      <c r="G1977" s="44">
        <v>0.1</v>
      </c>
      <c r="H1977" s="39" t="s">
        <v>101</v>
      </c>
      <c r="I1977" s="39" t="s">
        <v>102</v>
      </c>
      <c r="J1977" s="41">
        <v>4000</v>
      </c>
      <c r="K1977" s="42">
        <v>19.600000000000001</v>
      </c>
      <c r="L1977" s="43"/>
      <c r="M1977" s="43">
        <f>L1977*K1977</f>
        <v>0</v>
      </c>
      <c r="N1977" s="35">
        <v>4690368026307</v>
      </c>
    </row>
    <row r="1978" spans="1:14" ht="36" customHeight="1" outlineLevel="3" x14ac:dyDescent="0.2">
      <c r="A1978" s="36" t="s">
        <v>2434</v>
      </c>
      <c r="B1978" s="37" t="str">
        <f>HYPERLINK("http://sedek.ru/upload/iblock/661/tomat_nepasynkuyushchiysya_morkovnyy.jpg","фото")</f>
        <v>фото</v>
      </c>
      <c r="C1978" s="38"/>
      <c r="D1978" s="38" t="s">
        <v>266</v>
      </c>
      <c r="E1978" s="39" t="s">
        <v>2399</v>
      </c>
      <c r="F1978" s="39" t="s">
        <v>2435</v>
      </c>
      <c r="G1978" s="44">
        <v>0.1</v>
      </c>
      <c r="H1978" s="39" t="s">
        <v>101</v>
      </c>
      <c r="I1978" s="39" t="s">
        <v>102</v>
      </c>
      <c r="J1978" s="41">
        <v>4000</v>
      </c>
      <c r="K1978" s="42">
        <v>20.399999999999999</v>
      </c>
      <c r="L1978" s="43"/>
      <c r="M1978" s="43">
        <f>L1978*K1978</f>
        <v>0</v>
      </c>
      <c r="N1978" s="35">
        <v>4690368030687</v>
      </c>
    </row>
    <row r="1979" spans="1:14" ht="36" customHeight="1" outlineLevel="3" x14ac:dyDescent="0.2">
      <c r="A1979" s="45">
        <v>14620</v>
      </c>
      <c r="B1979" s="37" t="str">
        <f>HYPERLINK("http://sedek.ru/upload/iblock/3ae/tomat_nepasynkuyushchiysya_oranzhevyy_s_nosikom.jpg","фото")</f>
        <v>фото</v>
      </c>
      <c r="C1979" s="38"/>
      <c r="D1979" s="38"/>
      <c r="E1979" s="39" t="s">
        <v>2399</v>
      </c>
      <c r="F1979" s="39" t="s">
        <v>2436</v>
      </c>
      <c r="G1979" s="44">
        <v>0.1</v>
      </c>
      <c r="H1979" s="39" t="s">
        <v>101</v>
      </c>
      <c r="I1979" s="39" t="s">
        <v>102</v>
      </c>
      <c r="J1979" s="41">
        <v>4000</v>
      </c>
      <c r="K1979" s="42">
        <v>19.600000000000001</v>
      </c>
      <c r="L1979" s="43"/>
      <c r="M1979" s="43">
        <f>L1979*K1979</f>
        <v>0</v>
      </c>
      <c r="N1979" s="35">
        <v>4690368022286</v>
      </c>
    </row>
    <row r="1980" spans="1:14" ht="48" customHeight="1" outlineLevel="3" x14ac:dyDescent="0.2">
      <c r="A1980" s="36" t="s">
        <v>2437</v>
      </c>
      <c r="B1980" s="37" t="str">
        <f>HYPERLINK("http://sedek.ru/upload/iblock/532/tomat_nepasynkuyushchiysya_oranzhevyy_serdtsevidnyy.jpg","фото")</f>
        <v>фото</v>
      </c>
      <c r="C1980" s="38"/>
      <c r="D1980" s="38"/>
      <c r="E1980" s="39" t="s">
        <v>2399</v>
      </c>
      <c r="F1980" s="39" t="s">
        <v>2438</v>
      </c>
      <c r="G1980" s="44">
        <v>0.1</v>
      </c>
      <c r="H1980" s="39" t="s">
        <v>101</v>
      </c>
      <c r="I1980" s="39" t="s">
        <v>102</v>
      </c>
      <c r="J1980" s="41">
        <v>4000</v>
      </c>
      <c r="K1980" s="42">
        <v>19.600000000000001</v>
      </c>
      <c r="L1980" s="43"/>
      <c r="M1980" s="43">
        <f>L1980*K1980</f>
        <v>0</v>
      </c>
      <c r="N1980" s="35">
        <v>4690368026291</v>
      </c>
    </row>
    <row r="1981" spans="1:14" ht="36" customHeight="1" outlineLevel="3" x14ac:dyDescent="0.2">
      <c r="A1981" s="36" t="s">
        <v>2439</v>
      </c>
      <c r="B1981" s="37" t="str">
        <f>HYPERLINK("http://www.sedek.ru/upload/iblock/ab6/tomat_nepas_10_nepasynkuyushchiysya_polosatyy.jpg","Фото")</f>
        <v>Фото</v>
      </c>
      <c r="C1981" s="38"/>
      <c r="D1981" s="38"/>
      <c r="E1981" s="39" t="s">
        <v>2399</v>
      </c>
      <c r="F1981" s="39" t="s">
        <v>2440</v>
      </c>
      <c r="G1981" s="44">
        <v>0.1</v>
      </c>
      <c r="H1981" s="39" t="s">
        <v>101</v>
      </c>
      <c r="I1981" s="39" t="s">
        <v>102</v>
      </c>
      <c r="J1981" s="41">
        <v>4000</v>
      </c>
      <c r="K1981" s="42">
        <v>20.399999999999999</v>
      </c>
      <c r="L1981" s="43"/>
      <c r="M1981" s="43">
        <f>L1981*K1981</f>
        <v>0</v>
      </c>
      <c r="N1981" s="35">
        <v>4690368028479</v>
      </c>
    </row>
    <row r="1982" spans="1:14" ht="36" customHeight="1" outlineLevel="3" x14ac:dyDescent="0.2">
      <c r="A1982" s="36" t="s">
        <v>2441</v>
      </c>
      <c r="B1982" s="37" t="str">
        <f>HYPERLINK("http://sedek.ru/upload/iblock/341/tomat_nepasynkuyushchiysya_rozovyy.jpg","фото")</f>
        <v>фото</v>
      </c>
      <c r="C1982" s="38"/>
      <c r="D1982" s="38"/>
      <c r="E1982" s="39" t="s">
        <v>2399</v>
      </c>
      <c r="F1982" s="39" t="s">
        <v>2442</v>
      </c>
      <c r="G1982" s="44">
        <v>0.1</v>
      </c>
      <c r="H1982" s="39" t="s">
        <v>101</v>
      </c>
      <c r="I1982" s="39" t="s">
        <v>102</v>
      </c>
      <c r="J1982" s="41">
        <v>4000</v>
      </c>
      <c r="K1982" s="42">
        <v>19.600000000000001</v>
      </c>
      <c r="L1982" s="43"/>
      <c r="M1982" s="43">
        <f>L1982*K1982</f>
        <v>0</v>
      </c>
      <c r="N1982" s="35">
        <v>4690368026239</v>
      </c>
    </row>
    <row r="1983" spans="1:14" ht="24" customHeight="1" outlineLevel="3" x14ac:dyDescent="0.2">
      <c r="A1983" s="36" t="s">
        <v>2443</v>
      </c>
      <c r="B1983" s="37" t="str">
        <f>HYPERLINK("http://sedek.ru/upload/iblock/b05/tomat_nepasynkuyushchiysya_sakharnyy.jpg","фото")</f>
        <v>фото</v>
      </c>
      <c r="C1983" s="38"/>
      <c r="D1983" s="38"/>
      <c r="E1983" s="39" t="s">
        <v>2399</v>
      </c>
      <c r="F1983" s="39" t="s">
        <v>2444</v>
      </c>
      <c r="G1983" s="44">
        <v>0.1</v>
      </c>
      <c r="H1983" s="39" t="s">
        <v>101</v>
      </c>
      <c r="I1983" s="39" t="s">
        <v>102</v>
      </c>
      <c r="J1983" s="41">
        <v>4000</v>
      </c>
      <c r="K1983" s="42">
        <v>19.600000000000001</v>
      </c>
      <c r="L1983" s="43"/>
      <c r="M1983" s="43">
        <f>L1983*K1983</f>
        <v>0</v>
      </c>
      <c r="N1983" s="35">
        <v>4690368026246</v>
      </c>
    </row>
    <row r="1984" spans="1:14" ht="24" customHeight="1" outlineLevel="3" x14ac:dyDescent="0.2">
      <c r="A1984" s="45">
        <v>14263</v>
      </c>
      <c r="B1984" s="37" t="str">
        <f>HYPERLINK("http://sedek.ru/upload/iblock/26d/tomat_neptun_f1.jpg","фото")</f>
        <v>фото</v>
      </c>
      <c r="C1984" s="38"/>
      <c r="D1984" s="38"/>
      <c r="E1984" s="39"/>
      <c r="F1984" s="39" t="s">
        <v>2445</v>
      </c>
      <c r="G1984" s="54">
        <v>0.05</v>
      </c>
      <c r="H1984" s="39" t="s">
        <v>101</v>
      </c>
      <c r="I1984" s="39" t="s">
        <v>102</v>
      </c>
      <c r="J1984" s="41">
        <v>5000</v>
      </c>
      <c r="K1984" s="42">
        <v>26.4</v>
      </c>
      <c r="L1984" s="43"/>
      <c r="M1984" s="43">
        <f>L1984*K1984</f>
        <v>0</v>
      </c>
      <c r="N1984" s="35">
        <v>4607149409112</v>
      </c>
    </row>
    <row r="1985" spans="1:14" ht="24" customHeight="1" outlineLevel="3" x14ac:dyDescent="0.2">
      <c r="A1985" s="45">
        <v>15377</v>
      </c>
      <c r="B1985" s="37" t="str">
        <f>HYPERLINK("http://sedek.ru/upload/iblock/8ee/tomat_nikola.jpg","фото")</f>
        <v>фото</v>
      </c>
      <c r="C1985" s="38"/>
      <c r="D1985" s="38"/>
      <c r="E1985" s="39"/>
      <c r="F1985" s="39" t="s">
        <v>2446</v>
      </c>
      <c r="G1985" s="44">
        <v>0.1</v>
      </c>
      <c r="H1985" s="39" t="s">
        <v>101</v>
      </c>
      <c r="I1985" s="39" t="s">
        <v>102</v>
      </c>
      <c r="J1985" s="41">
        <v>4000</v>
      </c>
      <c r="K1985" s="42">
        <v>19.3</v>
      </c>
      <c r="L1985" s="43"/>
      <c r="M1985" s="43">
        <f>L1985*K1985</f>
        <v>0</v>
      </c>
      <c r="N1985" s="35">
        <v>4690368007436</v>
      </c>
    </row>
    <row r="1986" spans="1:14" ht="24" customHeight="1" outlineLevel="3" x14ac:dyDescent="0.2">
      <c r="A1986" s="45">
        <v>15523</v>
      </c>
      <c r="B1986" s="37" t="str">
        <f>HYPERLINK("http://sedek.ru/upload/iblock/75f/tomat_novinka_pridnestrovya.jpg","фото")</f>
        <v>фото</v>
      </c>
      <c r="C1986" s="38"/>
      <c r="D1986" s="38"/>
      <c r="E1986" s="39"/>
      <c r="F1986" s="39" t="s">
        <v>2447</v>
      </c>
      <c r="G1986" s="44">
        <v>0.2</v>
      </c>
      <c r="H1986" s="39" t="s">
        <v>101</v>
      </c>
      <c r="I1986" s="39" t="s">
        <v>102</v>
      </c>
      <c r="J1986" s="41">
        <v>3000</v>
      </c>
      <c r="K1986" s="42">
        <v>19.5</v>
      </c>
      <c r="L1986" s="43"/>
      <c r="M1986" s="43">
        <f>L1986*K1986</f>
        <v>0</v>
      </c>
      <c r="N1986" s="35">
        <v>4607116260944</v>
      </c>
    </row>
    <row r="1987" spans="1:14" ht="24" customHeight="1" outlineLevel="3" x14ac:dyDescent="0.2">
      <c r="A1987" s="45">
        <v>15359</v>
      </c>
      <c r="B1987" s="37" t="str">
        <f>HYPERLINK("http://www.sedek.ru/upload/iblock/61d/tomat_novichok.jpg","фото")</f>
        <v>фото</v>
      </c>
      <c r="C1987" s="38"/>
      <c r="D1987" s="38"/>
      <c r="E1987" s="39"/>
      <c r="F1987" s="39" t="s">
        <v>2448</v>
      </c>
      <c r="G1987" s="44">
        <v>0.2</v>
      </c>
      <c r="H1987" s="39" t="s">
        <v>101</v>
      </c>
      <c r="I1987" s="39" t="s">
        <v>102</v>
      </c>
      <c r="J1987" s="41">
        <v>3000</v>
      </c>
      <c r="K1987" s="42">
        <v>15.6</v>
      </c>
      <c r="L1987" s="43"/>
      <c r="M1987" s="43">
        <f>L1987*K1987</f>
        <v>0</v>
      </c>
      <c r="N1987" s="35">
        <v>4607116260951</v>
      </c>
    </row>
    <row r="1988" spans="1:14" ht="36" customHeight="1" outlineLevel="3" x14ac:dyDescent="0.2">
      <c r="A1988" s="36" t="s">
        <v>2449</v>
      </c>
      <c r="B1988" s="37" t="str">
        <f>HYPERLINK("http://www.sedek.ru/upload/iblock/c47/tomat_novichok_rozovyy.jpg","фото")</f>
        <v>фото</v>
      </c>
      <c r="C1988" s="38"/>
      <c r="D1988" s="38"/>
      <c r="E1988" s="39"/>
      <c r="F1988" s="39" t="s">
        <v>2450</v>
      </c>
      <c r="G1988" s="44">
        <v>0.1</v>
      </c>
      <c r="H1988" s="39" t="s">
        <v>101</v>
      </c>
      <c r="I1988" s="39" t="s">
        <v>102</v>
      </c>
      <c r="J1988" s="41">
        <v>4000</v>
      </c>
      <c r="K1988" s="42">
        <v>16.399999999999999</v>
      </c>
      <c r="L1988" s="43"/>
      <c r="M1988" s="43">
        <f>L1988*K1988</f>
        <v>0</v>
      </c>
      <c r="N1988" s="35">
        <v>4690368033916</v>
      </c>
    </row>
    <row r="1989" spans="1:14" ht="36" customHeight="1" outlineLevel="3" x14ac:dyDescent="0.2">
      <c r="A1989" s="36" t="s">
        <v>2451</v>
      </c>
      <c r="B1989" s="37" t="str">
        <f>HYPERLINK("http://www.sedek.ru/upload/iblock/78d/4xbpd4ab9e9x3u41pa5jq98g880ot4bo/tomat_ognennaya_galaktika.png","фото")</f>
        <v>фото</v>
      </c>
      <c r="C1989" s="38" t="s">
        <v>266</v>
      </c>
      <c r="D1989" s="38" t="s">
        <v>266</v>
      </c>
      <c r="E1989" s="39" t="s">
        <v>2452</v>
      </c>
      <c r="F1989" s="39" t="s">
        <v>2453</v>
      </c>
      <c r="G1989" s="44">
        <v>0.1</v>
      </c>
      <c r="H1989" s="39" t="s">
        <v>101</v>
      </c>
      <c r="I1989" s="39" t="s">
        <v>102</v>
      </c>
      <c r="J1989" s="41">
        <v>5000</v>
      </c>
      <c r="K1989" s="42">
        <v>46.1</v>
      </c>
      <c r="L1989" s="43"/>
      <c r="M1989" s="43">
        <f>L1989*K1989</f>
        <v>0</v>
      </c>
      <c r="N1989" s="35">
        <v>4690368041171</v>
      </c>
    </row>
    <row r="1990" spans="1:14" ht="36" customHeight="1" outlineLevel="3" x14ac:dyDescent="0.2">
      <c r="A1990" s="36" t="s">
        <v>2454</v>
      </c>
      <c r="B1990" s="37" t="str">
        <f>HYPERLINK("http://sedek.ru/upload/iblock/590/tomat_ogni_moskvy.jpg","фото")</f>
        <v>фото</v>
      </c>
      <c r="C1990" s="38"/>
      <c r="D1990" s="38"/>
      <c r="E1990" s="39"/>
      <c r="F1990" s="39" t="s">
        <v>2455</v>
      </c>
      <c r="G1990" s="44">
        <v>0.1</v>
      </c>
      <c r="H1990" s="39" t="s">
        <v>101</v>
      </c>
      <c r="I1990" s="39" t="s">
        <v>102</v>
      </c>
      <c r="J1990" s="41">
        <v>4000</v>
      </c>
      <c r="K1990" s="42">
        <v>16.399999999999999</v>
      </c>
      <c r="L1990" s="43"/>
      <c r="M1990" s="43">
        <f>L1990*K1990</f>
        <v>0</v>
      </c>
      <c r="N1990" s="35">
        <v>4607116260968</v>
      </c>
    </row>
    <row r="1991" spans="1:14" ht="24" customHeight="1" outlineLevel="3" x14ac:dyDescent="0.2">
      <c r="A1991" s="45">
        <v>17005</v>
      </c>
      <c r="B1991" s="37" t="str">
        <f>HYPERLINK("http://www.sedek.ru/upload/iblock/b08/tomat_ogorodnik.jpg","Фото")</f>
        <v>Фото</v>
      </c>
      <c r="C1991" s="38"/>
      <c r="D1991" s="38"/>
      <c r="E1991" s="39"/>
      <c r="F1991" s="39" t="s">
        <v>2456</v>
      </c>
      <c r="G1991" s="44">
        <v>0.1</v>
      </c>
      <c r="H1991" s="39" t="s">
        <v>101</v>
      </c>
      <c r="I1991" s="39" t="s">
        <v>102</v>
      </c>
      <c r="J1991" s="41">
        <v>4000</v>
      </c>
      <c r="K1991" s="42">
        <v>20.5</v>
      </c>
      <c r="L1991" s="43"/>
      <c r="M1991" s="43">
        <f>L1991*K1991</f>
        <v>0</v>
      </c>
      <c r="N1991" s="35">
        <v>4690368025461</v>
      </c>
    </row>
    <row r="1992" spans="1:14" ht="36" customHeight="1" outlineLevel="3" x14ac:dyDescent="0.2">
      <c r="A1992" s="36" t="s">
        <v>2457</v>
      </c>
      <c r="B1992" s="37" t="str">
        <f>HYPERLINK("http://www.sedek.ru/upload/iblock/22d/tomat_okonno_balkonnyy.jpg","фото")</f>
        <v>фото</v>
      </c>
      <c r="C1992" s="38"/>
      <c r="D1992" s="38"/>
      <c r="E1992" s="39"/>
      <c r="F1992" s="39" t="s">
        <v>2458</v>
      </c>
      <c r="G1992" s="44">
        <v>0.1</v>
      </c>
      <c r="H1992" s="39" t="s">
        <v>101</v>
      </c>
      <c r="I1992" s="39" t="s">
        <v>102</v>
      </c>
      <c r="J1992" s="41">
        <v>4000</v>
      </c>
      <c r="K1992" s="42">
        <v>20.6</v>
      </c>
      <c r="L1992" s="43"/>
      <c r="M1992" s="43">
        <f>L1992*K1992</f>
        <v>0</v>
      </c>
      <c r="N1992" s="35">
        <v>4690368028158</v>
      </c>
    </row>
    <row r="1993" spans="1:14" ht="36" customHeight="1" outlineLevel="3" x14ac:dyDescent="0.2">
      <c r="A1993" s="36" t="s">
        <v>2459</v>
      </c>
      <c r="B1993" s="37" t="str">
        <f>HYPERLINK("http://sedek.ru/upload/iblock/405/tomat_okonnyy.jpg","фото")</f>
        <v>фото</v>
      </c>
      <c r="C1993" s="38"/>
      <c r="D1993" s="38"/>
      <c r="E1993" s="39"/>
      <c r="F1993" s="39" t="s">
        <v>2460</v>
      </c>
      <c r="G1993" s="44">
        <v>0.1</v>
      </c>
      <c r="H1993" s="39" t="s">
        <v>101</v>
      </c>
      <c r="I1993" s="39" t="s">
        <v>102</v>
      </c>
      <c r="J1993" s="41">
        <v>4000</v>
      </c>
      <c r="K1993" s="42">
        <v>22.3</v>
      </c>
      <c r="L1993" s="43"/>
      <c r="M1993" s="43">
        <f>L1993*K1993</f>
        <v>0</v>
      </c>
      <c r="N1993" s="35">
        <v>4690368028134</v>
      </c>
    </row>
    <row r="1994" spans="1:14" ht="24" customHeight="1" outlineLevel="3" x14ac:dyDescent="0.2">
      <c r="A1994" s="45">
        <v>15549</v>
      </c>
      <c r="B1994" s="37" t="str">
        <f>HYPERLINK("http://sedek.ru/upload/iblock/cff/tomat_oranzhevye_slivki.jpg","фото")</f>
        <v>фото</v>
      </c>
      <c r="C1994" s="38"/>
      <c r="D1994" s="38"/>
      <c r="E1994" s="39"/>
      <c r="F1994" s="39" t="s">
        <v>2461</v>
      </c>
      <c r="G1994" s="44">
        <v>0.1</v>
      </c>
      <c r="H1994" s="39" t="s">
        <v>101</v>
      </c>
      <c r="I1994" s="39" t="s">
        <v>102</v>
      </c>
      <c r="J1994" s="41">
        <v>4000</v>
      </c>
      <c r="K1994" s="42">
        <v>20.5</v>
      </c>
      <c r="L1994" s="43"/>
      <c r="M1994" s="43">
        <f>L1994*K1994</f>
        <v>0</v>
      </c>
      <c r="N1994" s="35">
        <v>4607116261026</v>
      </c>
    </row>
    <row r="1995" spans="1:14" ht="36" customHeight="1" outlineLevel="3" x14ac:dyDescent="0.2">
      <c r="A1995" s="36" t="s">
        <v>2462</v>
      </c>
      <c r="B1995" s="37" t="str">
        <f>HYPERLINK("http://www.sedek.ru/upload/iblock/2ac/tomat_oranzhevyy_gigant.jpg","Фото")</f>
        <v>Фото</v>
      </c>
      <c r="C1995" s="38"/>
      <c r="D1995" s="38" t="s">
        <v>266</v>
      </c>
      <c r="E1995" s="39"/>
      <c r="F1995" s="39" t="s">
        <v>2463</v>
      </c>
      <c r="G1995" s="44">
        <v>0.1</v>
      </c>
      <c r="H1995" s="39" t="s">
        <v>101</v>
      </c>
      <c r="I1995" s="39" t="s">
        <v>102</v>
      </c>
      <c r="J1995" s="41">
        <v>4000</v>
      </c>
      <c r="K1995" s="42">
        <v>20.5</v>
      </c>
      <c r="L1995" s="43"/>
      <c r="M1995" s="43">
        <f>L1995*K1995</f>
        <v>0</v>
      </c>
      <c r="N1995" s="35">
        <v>4690368028615</v>
      </c>
    </row>
    <row r="1996" spans="1:14" ht="36" customHeight="1" outlineLevel="3" x14ac:dyDescent="0.2">
      <c r="A1996" s="45">
        <v>14719</v>
      </c>
      <c r="B1996" s="37" t="str">
        <f>HYPERLINK("http://sedek.ru/upload/iblock/14f/tomat_otradnyy.jpg","фото")</f>
        <v>фото</v>
      </c>
      <c r="C1996" s="38"/>
      <c r="D1996" s="38"/>
      <c r="E1996" s="39"/>
      <c r="F1996" s="39" t="s">
        <v>2464</v>
      </c>
      <c r="G1996" s="44">
        <v>0.1</v>
      </c>
      <c r="H1996" s="39" t="s">
        <v>101</v>
      </c>
      <c r="I1996" s="39" t="s">
        <v>102</v>
      </c>
      <c r="J1996" s="41">
        <v>4000</v>
      </c>
      <c r="K1996" s="42">
        <v>20.5</v>
      </c>
      <c r="L1996" s="43"/>
      <c r="M1996" s="43">
        <f>L1996*K1996</f>
        <v>0</v>
      </c>
      <c r="N1996" s="35">
        <v>4607116261033</v>
      </c>
    </row>
    <row r="1997" spans="1:14" ht="36" customHeight="1" outlineLevel="3" x14ac:dyDescent="0.2">
      <c r="A1997" s="36" t="s">
        <v>2465</v>
      </c>
      <c r="B1997" s="37" t="str">
        <f>HYPERLINK("http://www.sedek.ru/upload/iblock/5e5/tomat_papenkina_dochka_f1.jpg","Фото")</f>
        <v>Фото</v>
      </c>
      <c r="C1997" s="38"/>
      <c r="D1997" s="38"/>
      <c r="E1997" s="39"/>
      <c r="F1997" s="39" t="s">
        <v>2466</v>
      </c>
      <c r="G1997" s="54">
        <v>0.05</v>
      </c>
      <c r="H1997" s="39" t="s">
        <v>101</v>
      </c>
      <c r="I1997" s="39" t="s">
        <v>102</v>
      </c>
      <c r="J1997" s="41">
        <v>5000</v>
      </c>
      <c r="K1997" s="42">
        <v>21.9</v>
      </c>
      <c r="L1997" s="43"/>
      <c r="M1997" s="43">
        <f>L1997*K1997</f>
        <v>0</v>
      </c>
      <c r="N1997" s="35">
        <v>4690368028066</v>
      </c>
    </row>
    <row r="1998" spans="1:14" ht="36" customHeight="1" outlineLevel="3" x14ac:dyDescent="0.2">
      <c r="A1998" s="45">
        <v>15390</v>
      </c>
      <c r="B1998" s="37" t="str">
        <f>HYPERLINK("http://sedek.ru/upload/iblock/fdf/tomat_parnikovoe_chudo_f1.jpg","фото")</f>
        <v>фото</v>
      </c>
      <c r="C1998" s="38"/>
      <c r="D1998" s="38"/>
      <c r="E1998" s="39"/>
      <c r="F1998" s="39" t="s">
        <v>2467</v>
      </c>
      <c r="G1998" s="44">
        <v>0.1</v>
      </c>
      <c r="H1998" s="39" t="s">
        <v>101</v>
      </c>
      <c r="I1998" s="39" t="s">
        <v>102</v>
      </c>
      <c r="J1998" s="41">
        <v>4000</v>
      </c>
      <c r="K1998" s="42">
        <v>21.9</v>
      </c>
      <c r="L1998" s="43"/>
      <c r="M1998" s="43">
        <f>L1998*K1998</f>
        <v>0</v>
      </c>
      <c r="N1998" s="35">
        <v>4690368005982</v>
      </c>
    </row>
    <row r="1999" spans="1:14" ht="36" customHeight="1" outlineLevel="3" x14ac:dyDescent="0.2">
      <c r="A1999" s="45">
        <v>15814</v>
      </c>
      <c r="B1999" s="37" t="str">
        <f>HYPERLINK("http://sedek.ru/upload/iblock/1ba/tomat_parnikovyy_konservnyy_f1.jpg","фото")</f>
        <v>фото</v>
      </c>
      <c r="C1999" s="38"/>
      <c r="D1999" s="38"/>
      <c r="E1999" s="39"/>
      <c r="F1999" s="39" t="s">
        <v>2468</v>
      </c>
      <c r="G1999" s="54">
        <v>0.05</v>
      </c>
      <c r="H1999" s="39" t="s">
        <v>101</v>
      </c>
      <c r="I1999" s="39" t="s">
        <v>102</v>
      </c>
      <c r="J1999" s="41">
        <v>5000</v>
      </c>
      <c r="K1999" s="42">
        <v>20.5</v>
      </c>
      <c r="L1999" s="43"/>
      <c r="M1999" s="43">
        <f>L1999*K1999</f>
        <v>0</v>
      </c>
      <c r="N1999" s="35">
        <v>4690368007610</v>
      </c>
    </row>
    <row r="2000" spans="1:14" ht="24" customHeight="1" outlineLevel="3" x14ac:dyDescent="0.2">
      <c r="A2000" s="45">
        <v>14408</v>
      </c>
      <c r="B2000" s="37" t="str">
        <f>HYPERLINK("http://sedek.ru/upload/iblock/d80/tomat_parnikovyy_krupnoplodnyy.jpg","фото")</f>
        <v>фото</v>
      </c>
      <c r="C2000" s="38"/>
      <c r="D2000" s="38"/>
      <c r="E2000" s="39"/>
      <c r="F2000" s="39" t="s">
        <v>2469</v>
      </c>
      <c r="G2000" s="54">
        <v>0.05</v>
      </c>
      <c r="H2000" s="39" t="s">
        <v>101</v>
      </c>
      <c r="I2000" s="39" t="s">
        <v>102</v>
      </c>
      <c r="J2000" s="41">
        <v>5000</v>
      </c>
      <c r="K2000" s="42">
        <v>30.3</v>
      </c>
      <c r="L2000" s="43"/>
      <c r="M2000" s="43">
        <f>L2000*K2000</f>
        <v>0</v>
      </c>
      <c r="N2000" s="35">
        <v>4690368007429</v>
      </c>
    </row>
    <row r="2001" spans="1:14" ht="36" customHeight="1" outlineLevel="3" x14ac:dyDescent="0.2">
      <c r="A2001" s="45">
        <v>15939</v>
      </c>
      <c r="B2001" s="37" t="str">
        <f>HYPERLINK("http://sedek.ru/upload/iblock/e43/tomat_parnikovyy_ultraskorospelyy.jpg","фото")</f>
        <v>фото</v>
      </c>
      <c r="C2001" s="38"/>
      <c r="D2001" s="38"/>
      <c r="E2001" s="39"/>
      <c r="F2001" s="39" t="s">
        <v>2470</v>
      </c>
      <c r="G2001" s="54">
        <v>0.05</v>
      </c>
      <c r="H2001" s="39" t="s">
        <v>101</v>
      </c>
      <c r="I2001" s="39" t="s">
        <v>102</v>
      </c>
      <c r="J2001" s="41">
        <v>5000</v>
      </c>
      <c r="K2001" s="42">
        <v>25.3</v>
      </c>
      <c r="L2001" s="43"/>
      <c r="M2001" s="43">
        <f>L2001*K2001</f>
        <v>0</v>
      </c>
      <c r="N2001" s="35">
        <v>4690368007306</v>
      </c>
    </row>
    <row r="2002" spans="1:14" ht="36" customHeight="1" outlineLevel="3" x14ac:dyDescent="0.2">
      <c r="A2002" s="45">
        <v>16174</v>
      </c>
      <c r="B2002" s="37" t="str">
        <f>HYPERLINK("http://sedek.ru/upload/iblock/96b/tomat_parnikovyy_urozhaynyy_f1.jpg","фото")</f>
        <v>фото</v>
      </c>
      <c r="C2002" s="38"/>
      <c r="D2002" s="38"/>
      <c r="E2002" s="39"/>
      <c r="F2002" s="39" t="s">
        <v>2471</v>
      </c>
      <c r="G2002" s="54">
        <v>0.05</v>
      </c>
      <c r="H2002" s="39" t="s">
        <v>101</v>
      </c>
      <c r="I2002" s="39" t="s">
        <v>102</v>
      </c>
      <c r="J2002" s="41">
        <v>5000</v>
      </c>
      <c r="K2002" s="42">
        <v>30.3</v>
      </c>
      <c r="L2002" s="43"/>
      <c r="M2002" s="43">
        <f>L2002*K2002</f>
        <v>0</v>
      </c>
      <c r="N2002" s="35">
        <v>4690368005999</v>
      </c>
    </row>
    <row r="2003" spans="1:14" ht="24" customHeight="1" outlineLevel="3" x14ac:dyDescent="0.2">
      <c r="A2003" s="36" t="s">
        <v>2472</v>
      </c>
      <c r="B2003" s="37" t="str">
        <f>HYPERLINK("http://www.sedek.ru/upload/iblock/ced/tomat_peremoga_165.jpg","фото")</f>
        <v>фото</v>
      </c>
      <c r="C2003" s="38"/>
      <c r="D2003" s="38"/>
      <c r="E2003" s="39"/>
      <c r="F2003" s="39" t="s">
        <v>2473</v>
      </c>
      <c r="G2003" s="44">
        <v>0.1</v>
      </c>
      <c r="H2003" s="39" t="s">
        <v>101</v>
      </c>
      <c r="I2003" s="39" t="s">
        <v>102</v>
      </c>
      <c r="J2003" s="41">
        <v>4000</v>
      </c>
      <c r="K2003" s="42">
        <v>18.8</v>
      </c>
      <c r="L2003" s="43"/>
      <c r="M2003" s="43">
        <f>L2003*K2003</f>
        <v>0</v>
      </c>
      <c r="N2003" s="35">
        <v>4607116261071</v>
      </c>
    </row>
    <row r="2004" spans="1:14" ht="36" customHeight="1" outlineLevel="3" x14ac:dyDescent="0.2">
      <c r="A2004" s="45">
        <v>15961</v>
      </c>
      <c r="B2004" s="37" t="str">
        <f>HYPERLINK("http://sedek.ru/upload/iblock/574/tomat_persik.jpg","фото")</f>
        <v>фото</v>
      </c>
      <c r="C2004" s="38"/>
      <c r="D2004" s="38" t="s">
        <v>266</v>
      </c>
      <c r="E2004" s="39"/>
      <c r="F2004" s="39" t="s">
        <v>2474</v>
      </c>
      <c r="G2004" s="44">
        <v>0.1</v>
      </c>
      <c r="H2004" s="39" t="s">
        <v>101</v>
      </c>
      <c r="I2004" s="39" t="s">
        <v>102</v>
      </c>
      <c r="J2004" s="41">
        <v>4000</v>
      </c>
      <c r="K2004" s="42">
        <v>20</v>
      </c>
      <c r="L2004" s="43"/>
      <c r="M2004" s="43">
        <f>L2004*K2004</f>
        <v>0</v>
      </c>
      <c r="N2004" s="35">
        <v>4607116261101</v>
      </c>
    </row>
    <row r="2005" spans="1:14" ht="24" customHeight="1" outlineLevel="3" x14ac:dyDescent="0.2">
      <c r="A2005" s="45">
        <v>13707</v>
      </c>
      <c r="B2005" s="37" t="str">
        <f>HYPERLINK("http://sedek.ru/upload/iblock/32d/tomat_persik_krasnyy.jpg","фото")</f>
        <v>фото</v>
      </c>
      <c r="C2005" s="38"/>
      <c r="D2005" s="38" t="s">
        <v>266</v>
      </c>
      <c r="E2005" s="39"/>
      <c r="F2005" s="39" t="s">
        <v>2475</v>
      </c>
      <c r="G2005" s="44">
        <v>0.1</v>
      </c>
      <c r="H2005" s="39" t="s">
        <v>101</v>
      </c>
      <c r="I2005" s="39" t="s">
        <v>102</v>
      </c>
      <c r="J2005" s="41">
        <v>4000</v>
      </c>
      <c r="K2005" s="42">
        <v>19.100000000000001</v>
      </c>
      <c r="L2005" s="43"/>
      <c r="M2005" s="43">
        <f>L2005*K2005</f>
        <v>0</v>
      </c>
      <c r="N2005" s="35">
        <v>4690368022293</v>
      </c>
    </row>
    <row r="2006" spans="1:14" ht="36" customHeight="1" outlineLevel="3" x14ac:dyDescent="0.2">
      <c r="A2006" s="36" t="s">
        <v>2476</v>
      </c>
      <c r="B2006" s="37" t="str">
        <f>HYPERLINK("http://sedek.ru/upload/iblock/d27/tomat_pertsevidnyy_gigant.jpg","фото")</f>
        <v>фото</v>
      </c>
      <c r="C2006" s="38"/>
      <c r="D2006" s="38"/>
      <c r="E2006" s="39"/>
      <c r="F2006" s="39" t="s">
        <v>2477</v>
      </c>
      <c r="G2006" s="44">
        <v>0.1</v>
      </c>
      <c r="H2006" s="39" t="s">
        <v>101</v>
      </c>
      <c r="I2006" s="39" t="s">
        <v>102</v>
      </c>
      <c r="J2006" s="41">
        <v>4000</v>
      </c>
      <c r="K2006" s="42">
        <v>20.6</v>
      </c>
      <c r="L2006" s="43"/>
      <c r="M2006" s="43">
        <f>L2006*K2006</f>
        <v>0</v>
      </c>
      <c r="N2006" s="35">
        <v>4690368026673</v>
      </c>
    </row>
    <row r="2007" spans="1:14" ht="36" customHeight="1" outlineLevel="3" x14ac:dyDescent="0.2">
      <c r="A2007" s="45">
        <v>13685</v>
      </c>
      <c r="B2007" s="37" t="str">
        <f>HYPERLINK("http://www.sedek.ru/upload/iblock/a30/tomat_pertsevidnyy_korolevskiy_f1.jpg","Фото")</f>
        <v>Фото</v>
      </c>
      <c r="C2007" s="38"/>
      <c r="D2007" s="38"/>
      <c r="E2007" s="39"/>
      <c r="F2007" s="39" t="s">
        <v>2478</v>
      </c>
      <c r="G2007" s="44">
        <v>0.1</v>
      </c>
      <c r="H2007" s="39" t="s">
        <v>101</v>
      </c>
      <c r="I2007" s="39" t="s">
        <v>102</v>
      </c>
      <c r="J2007" s="41">
        <v>4000</v>
      </c>
      <c r="K2007" s="42">
        <v>23.9</v>
      </c>
      <c r="L2007" s="43"/>
      <c r="M2007" s="43">
        <f>L2007*K2007</f>
        <v>0</v>
      </c>
      <c r="N2007" s="35">
        <v>4690368022309</v>
      </c>
    </row>
    <row r="2008" spans="1:14" ht="36" customHeight="1" outlineLevel="3" x14ac:dyDescent="0.2">
      <c r="A2008" s="45">
        <v>15709</v>
      </c>
      <c r="B2008" s="37" t="str">
        <f>HYPERLINK("http://sedek.ru/upload/iblock/9ac/tomat_pertsevidnyy_krasnyy.jpg","фото")</f>
        <v>фото</v>
      </c>
      <c r="C2008" s="38"/>
      <c r="D2008" s="38"/>
      <c r="E2008" s="39"/>
      <c r="F2008" s="39" t="s">
        <v>2479</v>
      </c>
      <c r="G2008" s="44">
        <v>0.1</v>
      </c>
      <c r="H2008" s="39" t="s">
        <v>101</v>
      </c>
      <c r="I2008" s="39" t="s">
        <v>102</v>
      </c>
      <c r="J2008" s="41">
        <v>4000</v>
      </c>
      <c r="K2008" s="42">
        <v>20</v>
      </c>
      <c r="L2008" s="43"/>
      <c r="M2008" s="43">
        <f>L2008*K2008</f>
        <v>0</v>
      </c>
      <c r="N2008" s="35">
        <v>4607116261125</v>
      </c>
    </row>
    <row r="2009" spans="1:14" ht="24" customHeight="1" outlineLevel="3" x14ac:dyDescent="0.2">
      <c r="A2009" s="36" t="s">
        <v>2480</v>
      </c>
      <c r="B2009" s="37" t="str">
        <f>HYPERLINK("http://www.sedek.ru/upload/iblock/a30/tomat_pertsevidnyy_oranzhevyy.jpg","Фото")</f>
        <v>Фото</v>
      </c>
      <c r="C2009" s="38"/>
      <c r="D2009" s="38"/>
      <c r="E2009" s="39"/>
      <c r="F2009" s="39" t="s">
        <v>2481</v>
      </c>
      <c r="G2009" s="44">
        <v>0.1</v>
      </c>
      <c r="H2009" s="39" t="s">
        <v>101</v>
      </c>
      <c r="I2009" s="39" t="s">
        <v>102</v>
      </c>
      <c r="J2009" s="41">
        <v>4000</v>
      </c>
      <c r="K2009" s="42">
        <v>20</v>
      </c>
      <c r="L2009" s="43"/>
      <c r="M2009" s="43">
        <f>L2009*K2009</f>
        <v>0</v>
      </c>
      <c r="N2009" s="35">
        <v>4690368030717</v>
      </c>
    </row>
    <row r="2010" spans="1:14" ht="36" customHeight="1" outlineLevel="3" x14ac:dyDescent="0.2">
      <c r="A2010" s="45">
        <v>14787</v>
      </c>
      <c r="B2010" s="37" t="str">
        <f>HYPERLINK("http://sedek.ru/upload/iblock/20d/tomat_pertsevidnyy_polosatyy.jpg","фото")</f>
        <v>фото</v>
      </c>
      <c r="C2010" s="38"/>
      <c r="D2010" s="38"/>
      <c r="E2010" s="39"/>
      <c r="F2010" s="39" t="s">
        <v>2482</v>
      </c>
      <c r="G2010" s="44">
        <v>0.1</v>
      </c>
      <c r="H2010" s="39" t="s">
        <v>101</v>
      </c>
      <c r="I2010" s="39" t="s">
        <v>102</v>
      </c>
      <c r="J2010" s="41">
        <v>4000</v>
      </c>
      <c r="K2010" s="42">
        <v>19.5</v>
      </c>
      <c r="L2010" s="43"/>
      <c r="M2010" s="43">
        <f>L2010*K2010</f>
        <v>0</v>
      </c>
      <c r="N2010" s="35">
        <v>4607116261132</v>
      </c>
    </row>
    <row r="2011" spans="1:14" ht="36" customHeight="1" outlineLevel="3" x14ac:dyDescent="0.2">
      <c r="A2011" s="45">
        <v>16011</v>
      </c>
      <c r="B2011" s="37" t="str">
        <f>HYPERLINK("http://sedek.ru/upload/iblock/f2e/tomat_pertsevidnyy_rozovyy.jpg","фото")</f>
        <v>фото</v>
      </c>
      <c r="C2011" s="38"/>
      <c r="D2011" s="38"/>
      <c r="E2011" s="39"/>
      <c r="F2011" s="39" t="s">
        <v>2483</v>
      </c>
      <c r="G2011" s="44">
        <v>0.1</v>
      </c>
      <c r="H2011" s="39" t="s">
        <v>101</v>
      </c>
      <c r="I2011" s="39" t="s">
        <v>102</v>
      </c>
      <c r="J2011" s="41">
        <v>4000</v>
      </c>
      <c r="K2011" s="42">
        <v>19.5</v>
      </c>
      <c r="L2011" s="43"/>
      <c r="M2011" s="43">
        <f>L2011*K2011</f>
        <v>0</v>
      </c>
      <c r="N2011" s="35">
        <v>4607116261149</v>
      </c>
    </row>
    <row r="2012" spans="1:14" ht="36" customHeight="1" outlineLevel="3" x14ac:dyDescent="0.2">
      <c r="A2012" s="36" t="s">
        <v>2484</v>
      </c>
      <c r="B2012" s="37" t="str">
        <f>HYPERLINK("http://sedek.ru/upload/iblock/edd/tomat_pertsevidnyy_shokoladnyy_.jpg","фото")</f>
        <v>фото</v>
      </c>
      <c r="C2012" s="38" t="s">
        <v>266</v>
      </c>
      <c r="D2012" s="38"/>
      <c r="E2012" s="39" t="s">
        <v>2093</v>
      </c>
      <c r="F2012" s="39" t="s">
        <v>2485</v>
      </c>
      <c r="G2012" s="54">
        <v>0.05</v>
      </c>
      <c r="H2012" s="39"/>
      <c r="I2012" s="39" t="s">
        <v>102</v>
      </c>
      <c r="J2012" s="41">
        <v>3000</v>
      </c>
      <c r="K2012" s="42">
        <v>46.1</v>
      </c>
      <c r="L2012" s="43"/>
      <c r="M2012" s="43">
        <f>L2012*K2012</f>
        <v>0</v>
      </c>
      <c r="N2012" s="35">
        <v>4690368039581</v>
      </c>
    </row>
    <row r="2013" spans="1:14" ht="36" customHeight="1" outlineLevel="3" x14ac:dyDescent="0.2">
      <c r="A2013" s="45">
        <v>14621</v>
      </c>
      <c r="B2013" s="37" t="str">
        <f>HYPERLINK("http://www.sedek.ru/upload/iblock/c2c/tomat_pertsevidnyy_shtambovyy.jpg","Фото")</f>
        <v>Фото</v>
      </c>
      <c r="C2013" s="38"/>
      <c r="D2013" s="38"/>
      <c r="E2013" s="39"/>
      <c r="F2013" s="39" t="s">
        <v>2486</v>
      </c>
      <c r="G2013" s="44">
        <v>0.1</v>
      </c>
      <c r="H2013" s="39" t="s">
        <v>101</v>
      </c>
      <c r="I2013" s="39" t="s">
        <v>102</v>
      </c>
      <c r="J2013" s="41">
        <v>4000</v>
      </c>
      <c r="K2013" s="42">
        <v>20.5</v>
      </c>
      <c r="L2013" s="43"/>
      <c r="M2013" s="43">
        <f>L2013*K2013</f>
        <v>0</v>
      </c>
      <c r="N2013" s="35">
        <v>4690368022361</v>
      </c>
    </row>
    <row r="2014" spans="1:14" ht="36" customHeight="1" outlineLevel="3" x14ac:dyDescent="0.2">
      <c r="A2014" s="36" t="s">
        <v>2487</v>
      </c>
      <c r="B2014" s="37" t="str">
        <f>HYPERLINK("http://sedek.ru/upload/iblock/f20/tomat_petr_velikiy_f1.jpg","фото")</f>
        <v>фото</v>
      </c>
      <c r="C2014" s="38"/>
      <c r="D2014" s="38"/>
      <c r="E2014" s="39" t="s">
        <v>2270</v>
      </c>
      <c r="F2014" s="39" t="s">
        <v>2488</v>
      </c>
      <c r="G2014" s="54">
        <v>0.05</v>
      </c>
      <c r="H2014" s="39" t="s">
        <v>101</v>
      </c>
      <c r="I2014" s="39" t="s">
        <v>102</v>
      </c>
      <c r="J2014" s="41">
        <v>5000</v>
      </c>
      <c r="K2014" s="42">
        <v>46.5</v>
      </c>
      <c r="L2014" s="43"/>
      <c r="M2014" s="43">
        <f>L2014*K2014</f>
        <v>0</v>
      </c>
      <c r="N2014" s="35">
        <v>4690368026222</v>
      </c>
    </row>
    <row r="2015" spans="1:14" ht="24" customHeight="1" outlineLevel="3" x14ac:dyDescent="0.2">
      <c r="A2015" s="45">
        <v>16254</v>
      </c>
      <c r="B2015" s="37" t="str">
        <f>HYPERLINK("http://sedek.ru/upload/iblock/153/tomat_petr_pervyy_f1.jpg","фото")</f>
        <v>фото</v>
      </c>
      <c r="C2015" s="38"/>
      <c r="D2015" s="38"/>
      <c r="E2015" s="39" t="s">
        <v>2270</v>
      </c>
      <c r="F2015" s="39" t="s">
        <v>2489</v>
      </c>
      <c r="G2015" s="54">
        <v>0.05</v>
      </c>
      <c r="H2015" s="39" t="s">
        <v>101</v>
      </c>
      <c r="I2015" s="39" t="s">
        <v>102</v>
      </c>
      <c r="J2015" s="41">
        <v>5000</v>
      </c>
      <c r="K2015" s="42">
        <v>44.3</v>
      </c>
      <c r="L2015" s="43"/>
      <c r="M2015" s="43">
        <f>L2015*K2015</f>
        <v>0</v>
      </c>
      <c r="N2015" s="35">
        <v>4690368015035</v>
      </c>
    </row>
    <row r="2016" spans="1:14" ht="24" customHeight="1" outlineLevel="3" x14ac:dyDescent="0.2">
      <c r="A2016" s="45">
        <v>16325</v>
      </c>
      <c r="B2016" s="37" t="str">
        <f>HYPERLINK("http://sedek.ru/upload/iblock/a83/tomat_pingvin_f1.jpg","фото")</f>
        <v>фото</v>
      </c>
      <c r="C2016" s="38"/>
      <c r="D2016" s="38"/>
      <c r="E2016" s="39"/>
      <c r="F2016" s="39" t="s">
        <v>2490</v>
      </c>
      <c r="G2016" s="44">
        <v>0.1</v>
      </c>
      <c r="H2016" s="39" t="s">
        <v>101</v>
      </c>
      <c r="I2016" s="39" t="s">
        <v>102</v>
      </c>
      <c r="J2016" s="41">
        <v>4000</v>
      </c>
      <c r="K2016" s="42">
        <v>21.9</v>
      </c>
      <c r="L2016" s="43"/>
      <c r="M2016" s="43">
        <f>L2016*K2016</f>
        <v>0</v>
      </c>
      <c r="N2016" s="35">
        <v>4607015185539</v>
      </c>
    </row>
    <row r="2017" spans="1:14" ht="24" customHeight="1" outlineLevel="3" x14ac:dyDescent="0.2">
      <c r="A2017" s="45">
        <v>14288</v>
      </c>
      <c r="B2017" s="37" t="str">
        <f>HYPERLINK("http://sedek.ru/upload/iblock/956/tomat_pinokkio.jpg","фото")</f>
        <v>фото</v>
      </c>
      <c r="C2017" s="38"/>
      <c r="D2017" s="38"/>
      <c r="E2017" s="39"/>
      <c r="F2017" s="39" t="s">
        <v>2491</v>
      </c>
      <c r="G2017" s="44">
        <v>0.1</v>
      </c>
      <c r="H2017" s="39" t="s">
        <v>101</v>
      </c>
      <c r="I2017" s="39" t="s">
        <v>102</v>
      </c>
      <c r="J2017" s="41">
        <v>4000</v>
      </c>
      <c r="K2017" s="42">
        <v>16.399999999999999</v>
      </c>
      <c r="L2017" s="43"/>
      <c r="M2017" s="43">
        <f>L2017*K2017</f>
        <v>0</v>
      </c>
      <c r="N2017" s="35">
        <v>4607116261156</v>
      </c>
    </row>
    <row r="2018" spans="1:14" ht="24" customHeight="1" outlineLevel="3" x14ac:dyDescent="0.2">
      <c r="A2018" s="45">
        <v>14288</v>
      </c>
      <c r="B2018" s="37" t="str">
        <f>HYPERLINK("http://sedek.ru/upload/iblock/956/tomat_pinokkio.jpg","фото")</f>
        <v>фото</v>
      </c>
      <c r="C2018" s="38"/>
      <c r="D2018" s="38"/>
      <c r="E2018" s="39"/>
      <c r="F2018" s="39" t="s">
        <v>2492</v>
      </c>
      <c r="G2018" s="44">
        <v>0.1</v>
      </c>
      <c r="H2018" s="39" t="s">
        <v>101</v>
      </c>
      <c r="I2018" s="39" t="s">
        <v>287</v>
      </c>
      <c r="J2018" s="41">
        <v>4000</v>
      </c>
      <c r="K2018" s="42">
        <v>10.1</v>
      </c>
      <c r="L2018" s="43"/>
      <c r="M2018" s="43">
        <f>L2018*K2018</f>
        <v>0</v>
      </c>
      <c r="N2018" s="35">
        <v>4690368001205</v>
      </c>
    </row>
    <row r="2019" spans="1:14" ht="24" customHeight="1" outlineLevel="3" x14ac:dyDescent="0.2">
      <c r="A2019" s="45">
        <v>15666</v>
      </c>
      <c r="B2019" s="37" t="str">
        <f>HYPERLINK("http://sedek.ru/upload/iblock/387/tomat_podarok_zhenshchine_f1.jpg","фото")</f>
        <v>фото</v>
      </c>
      <c r="C2019" s="38"/>
      <c r="D2019" s="38"/>
      <c r="E2019" s="39"/>
      <c r="F2019" s="39" t="s">
        <v>2493</v>
      </c>
      <c r="G2019" s="54">
        <v>0.05</v>
      </c>
      <c r="H2019" s="39" t="s">
        <v>101</v>
      </c>
      <c r="I2019" s="39" t="s">
        <v>102</v>
      </c>
      <c r="J2019" s="41">
        <v>5000</v>
      </c>
      <c r="K2019" s="42">
        <v>68.400000000000006</v>
      </c>
      <c r="L2019" s="43"/>
      <c r="M2019" s="43">
        <f>L2019*K2019</f>
        <v>0</v>
      </c>
      <c r="N2019" s="35">
        <v>4690368009898</v>
      </c>
    </row>
    <row r="2020" spans="1:14" ht="36" customHeight="1" outlineLevel="3" x14ac:dyDescent="0.2">
      <c r="A2020" s="45">
        <v>13697</v>
      </c>
      <c r="B2020" s="37" t="str">
        <f>HYPERLINK("http://sedek.ru/upload/iblock/7fa/tomat_polnaya_kubyshka.jpg","фото")</f>
        <v>фото</v>
      </c>
      <c r="C2020" s="38"/>
      <c r="D2020" s="38"/>
      <c r="E2020" s="39"/>
      <c r="F2020" s="39" t="s">
        <v>2494</v>
      </c>
      <c r="G2020" s="44">
        <v>0.1</v>
      </c>
      <c r="H2020" s="39" t="s">
        <v>101</v>
      </c>
      <c r="I2020" s="39" t="s">
        <v>102</v>
      </c>
      <c r="J2020" s="41">
        <v>4000</v>
      </c>
      <c r="K2020" s="42">
        <v>20.5</v>
      </c>
      <c r="L2020" s="43"/>
      <c r="M2020" s="43">
        <f>L2020*K2020</f>
        <v>0</v>
      </c>
      <c r="N2020" s="35">
        <v>4690368022316</v>
      </c>
    </row>
    <row r="2021" spans="1:14" ht="36" customHeight="1" outlineLevel="3" x14ac:dyDescent="0.2">
      <c r="A2021" s="36" t="s">
        <v>2495</v>
      </c>
      <c r="B2021" s="37" t="str">
        <f>HYPERLINK("http://www.sedek.ru/upload/iblock/cdf/tomat_pol_robson.jpg","Фото")</f>
        <v>Фото</v>
      </c>
      <c r="C2021" s="38"/>
      <c r="D2021" s="38" t="s">
        <v>266</v>
      </c>
      <c r="E2021" s="39" t="s">
        <v>2093</v>
      </c>
      <c r="F2021" s="39" t="s">
        <v>2496</v>
      </c>
      <c r="G2021" s="44">
        <v>0.1</v>
      </c>
      <c r="H2021" s="39" t="s">
        <v>101</v>
      </c>
      <c r="I2021" s="39" t="s">
        <v>102</v>
      </c>
      <c r="J2021" s="41">
        <v>4000</v>
      </c>
      <c r="K2021" s="42">
        <v>20.5</v>
      </c>
      <c r="L2021" s="43"/>
      <c r="M2021" s="43">
        <f>L2021*K2021</f>
        <v>0</v>
      </c>
      <c r="N2021" s="35">
        <v>4690368030724</v>
      </c>
    </row>
    <row r="2022" spans="1:14" ht="24" customHeight="1" outlineLevel="3" x14ac:dyDescent="0.2">
      <c r="A2022" s="45">
        <v>16094</v>
      </c>
      <c r="B2022" s="37" t="str">
        <f>HYPERLINK("http://www.sedek.ru/upload/iblock/e11/tomat_polyus.jpg","Фото")</f>
        <v>Фото</v>
      </c>
      <c r="C2022" s="38"/>
      <c r="D2022" s="38"/>
      <c r="E2022" s="39"/>
      <c r="F2022" s="39" t="s">
        <v>2497</v>
      </c>
      <c r="G2022" s="44">
        <v>0.1</v>
      </c>
      <c r="H2022" s="39" t="s">
        <v>101</v>
      </c>
      <c r="I2022" s="39" t="s">
        <v>102</v>
      </c>
      <c r="J2022" s="41">
        <v>4000</v>
      </c>
      <c r="K2022" s="42">
        <v>20.5</v>
      </c>
      <c r="L2022" s="43"/>
      <c r="M2022" s="43">
        <f>L2022*K2022</f>
        <v>0</v>
      </c>
      <c r="N2022" s="35">
        <v>4690368022323</v>
      </c>
    </row>
    <row r="2023" spans="1:14" ht="36" customHeight="1" outlineLevel="3" x14ac:dyDescent="0.2">
      <c r="A2023" s="45">
        <v>14125</v>
      </c>
      <c r="B2023" s="37" t="str">
        <f>HYPERLINK("http://sedek.ru/upload/iblock/ec6/tomat_polyarnik.jpg","фото")</f>
        <v>фото</v>
      </c>
      <c r="C2023" s="38"/>
      <c r="D2023" s="38" t="s">
        <v>266</v>
      </c>
      <c r="E2023" s="39"/>
      <c r="F2023" s="39" t="s">
        <v>2498</v>
      </c>
      <c r="G2023" s="44">
        <v>0.2</v>
      </c>
      <c r="H2023" s="39" t="s">
        <v>101</v>
      </c>
      <c r="I2023" s="39" t="s">
        <v>102</v>
      </c>
      <c r="J2023" s="41">
        <v>3000</v>
      </c>
      <c r="K2023" s="42">
        <v>20.5</v>
      </c>
      <c r="L2023" s="43"/>
      <c r="M2023" s="43">
        <f>L2023*K2023</f>
        <v>0</v>
      </c>
      <c r="N2023" s="35">
        <v>4607116261163</v>
      </c>
    </row>
    <row r="2024" spans="1:14" ht="36" customHeight="1" outlineLevel="3" x14ac:dyDescent="0.2">
      <c r="A2024" s="45">
        <v>13739</v>
      </c>
      <c r="B2024" s="37" t="str">
        <f>HYPERLINK("http://sedek.ru/upload/iblock/7b7/tomat_primadonna_f1.jpg","фото")</f>
        <v>фото</v>
      </c>
      <c r="C2024" s="38"/>
      <c r="D2024" s="38"/>
      <c r="E2024" s="39"/>
      <c r="F2024" s="39" t="s">
        <v>2499</v>
      </c>
      <c r="G2024" s="54">
        <v>0.05</v>
      </c>
      <c r="H2024" s="39" t="s">
        <v>101</v>
      </c>
      <c r="I2024" s="39" t="s">
        <v>102</v>
      </c>
      <c r="J2024" s="41">
        <v>5000</v>
      </c>
      <c r="K2024" s="42">
        <v>42.3</v>
      </c>
      <c r="L2024" s="43"/>
      <c r="M2024" s="43">
        <f>L2024*K2024</f>
        <v>0</v>
      </c>
      <c r="N2024" s="35">
        <v>4607149409075</v>
      </c>
    </row>
    <row r="2025" spans="1:14" ht="24" customHeight="1" outlineLevel="3" x14ac:dyDescent="0.2">
      <c r="A2025" s="45">
        <v>15845</v>
      </c>
      <c r="B2025" s="37" t="str">
        <f>HYPERLINK("http://sedek.ru/upload/iblock/527/tomat_pyshnaya_kupchishka_f1.jpg","фото")</f>
        <v>фото</v>
      </c>
      <c r="C2025" s="38"/>
      <c r="D2025" s="38" t="s">
        <v>266</v>
      </c>
      <c r="E2025" s="39"/>
      <c r="F2025" s="39" t="s">
        <v>2500</v>
      </c>
      <c r="G2025" s="54">
        <v>0.05</v>
      </c>
      <c r="H2025" s="39" t="s">
        <v>101</v>
      </c>
      <c r="I2025" s="39" t="s">
        <v>102</v>
      </c>
      <c r="J2025" s="41">
        <v>5000</v>
      </c>
      <c r="K2025" s="42">
        <v>44.5</v>
      </c>
      <c r="L2025" s="43"/>
      <c r="M2025" s="43">
        <f>L2025*K2025</f>
        <v>0</v>
      </c>
      <c r="N2025" s="35">
        <v>4690368007603</v>
      </c>
    </row>
    <row r="2026" spans="1:14" ht="36" customHeight="1" outlineLevel="3" x14ac:dyDescent="0.2">
      <c r="A2026" s="45">
        <v>15815</v>
      </c>
      <c r="B2026" s="37" t="str">
        <f>HYPERLINK("http://sedek.ru/upload/iblock/8fb/tomat_raznosol.jpg","фото")</f>
        <v>фото</v>
      </c>
      <c r="C2026" s="38"/>
      <c r="D2026" s="38"/>
      <c r="E2026" s="39"/>
      <c r="F2026" s="39" t="s">
        <v>2501</v>
      </c>
      <c r="G2026" s="44">
        <v>0.1</v>
      </c>
      <c r="H2026" s="39" t="s">
        <v>101</v>
      </c>
      <c r="I2026" s="39" t="s">
        <v>102</v>
      </c>
      <c r="J2026" s="41">
        <v>4000</v>
      </c>
      <c r="K2026" s="42">
        <v>20.5</v>
      </c>
      <c r="L2026" s="43"/>
      <c r="M2026" s="43">
        <f>L2026*K2026</f>
        <v>0</v>
      </c>
      <c r="N2026" s="35">
        <v>4690368007597</v>
      </c>
    </row>
    <row r="2027" spans="1:14" ht="36" customHeight="1" outlineLevel="3" x14ac:dyDescent="0.2">
      <c r="A2027" s="45">
        <v>15434</v>
      </c>
      <c r="B2027" s="37" t="str">
        <f>HYPERLINK("http://sedek.ru/upload/iblock/bcf/tomat_rayskaya_konfetka_f1.jpg","фото")</f>
        <v>фото</v>
      </c>
      <c r="C2027" s="38"/>
      <c r="D2027" s="38" t="s">
        <v>266</v>
      </c>
      <c r="E2027" s="39" t="s">
        <v>2173</v>
      </c>
      <c r="F2027" s="39" t="s">
        <v>2502</v>
      </c>
      <c r="G2027" s="54">
        <v>0.05</v>
      </c>
      <c r="H2027" s="39" t="s">
        <v>101</v>
      </c>
      <c r="I2027" s="39" t="s">
        <v>102</v>
      </c>
      <c r="J2027" s="41">
        <v>5000</v>
      </c>
      <c r="K2027" s="42">
        <v>43.1</v>
      </c>
      <c r="L2027" s="43"/>
      <c r="M2027" s="43">
        <f>L2027*K2027</f>
        <v>0</v>
      </c>
      <c r="N2027" s="35">
        <v>4607149404964</v>
      </c>
    </row>
    <row r="2028" spans="1:14" ht="36" customHeight="1" outlineLevel="3" x14ac:dyDescent="0.2">
      <c r="A2028" s="45">
        <v>16345</v>
      </c>
      <c r="B2028" s="37" t="str">
        <f>HYPERLINK("http://sedek.ru/upload/iblock/38d/tomat_rayskoe_naslazhdenie.jpg","фото")</f>
        <v>фото</v>
      </c>
      <c r="C2028" s="38"/>
      <c r="D2028" s="38"/>
      <c r="E2028" s="39"/>
      <c r="F2028" s="39" t="s">
        <v>2503</v>
      </c>
      <c r="G2028" s="44">
        <v>0.1</v>
      </c>
      <c r="H2028" s="39" t="s">
        <v>101</v>
      </c>
      <c r="I2028" s="39" t="s">
        <v>102</v>
      </c>
      <c r="J2028" s="41">
        <v>4000</v>
      </c>
      <c r="K2028" s="42">
        <v>19.5</v>
      </c>
      <c r="L2028" s="43"/>
      <c r="M2028" s="43">
        <f>L2028*K2028</f>
        <v>0</v>
      </c>
      <c r="N2028" s="35">
        <v>4607116261217</v>
      </c>
    </row>
    <row r="2029" spans="1:14" ht="36" customHeight="1" outlineLevel="3" x14ac:dyDescent="0.2">
      <c r="A2029" s="45">
        <v>15885</v>
      </c>
      <c r="B2029" s="37" t="str">
        <f>HYPERLINK("http://sedek.ru/upload/iblock/38d/tomat_rayskoe_yablochko.jpg","фото")</f>
        <v>фото</v>
      </c>
      <c r="C2029" s="38"/>
      <c r="D2029" s="38"/>
      <c r="E2029" s="39"/>
      <c r="F2029" s="39" t="s">
        <v>2504</v>
      </c>
      <c r="G2029" s="44">
        <v>0.2</v>
      </c>
      <c r="H2029" s="39" t="s">
        <v>101</v>
      </c>
      <c r="I2029" s="39" t="s">
        <v>102</v>
      </c>
      <c r="J2029" s="41">
        <v>3000</v>
      </c>
      <c r="K2029" s="42">
        <v>18.8</v>
      </c>
      <c r="L2029" s="43"/>
      <c r="M2029" s="43">
        <f>L2029*K2029</f>
        <v>0</v>
      </c>
      <c r="N2029" s="35">
        <v>4607149405046</v>
      </c>
    </row>
    <row r="2030" spans="1:14" ht="36" customHeight="1" outlineLevel="3" x14ac:dyDescent="0.2">
      <c r="A2030" s="45">
        <v>16401</v>
      </c>
      <c r="B2030" s="37" t="str">
        <f>HYPERLINK("http://sedek.ru/upload/iblock/fa9/tomat_ranniy_gruntovyy.jpg","фото")</f>
        <v>фото</v>
      </c>
      <c r="C2030" s="38"/>
      <c r="D2030" s="38"/>
      <c r="E2030" s="39"/>
      <c r="F2030" s="39" t="s">
        <v>2505</v>
      </c>
      <c r="G2030" s="44">
        <v>0.2</v>
      </c>
      <c r="H2030" s="39" t="s">
        <v>101</v>
      </c>
      <c r="I2030" s="39" t="s">
        <v>102</v>
      </c>
      <c r="J2030" s="41">
        <v>3000</v>
      </c>
      <c r="K2030" s="42">
        <v>19.3</v>
      </c>
      <c r="L2030" s="43"/>
      <c r="M2030" s="43">
        <f>L2030*K2030</f>
        <v>0</v>
      </c>
      <c r="N2030" s="35">
        <v>4607116261224</v>
      </c>
    </row>
    <row r="2031" spans="1:14" ht="36" customHeight="1" outlineLevel="3" x14ac:dyDescent="0.2">
      <c r="A2031" s="45">
        <v>15680</v>
      </c>
      <c r="B2031" s="37" t="str">
        <f>HYPERLINK("http://sedek.ru/upload/iblock/3f4/tomat_ranniy_dubinina.jpg","фото")</f>
        <v>фото</v>
      </c>
      <c r="C2031" s="38"/>
      <c r="D2031" s="38" t="s">
        <v>266</v>
      </c>
      <c r="E2031" s="39" t="s">
        <v>2090</v>
      </c>
      <c r="F2031" s="39" t="s">
        <v>2506</v>
      </c>
      <c r="G2031" s="44">
        <v>0.2</v>
      </c>
      <c r="H2031" s="39" t="s">
        <v>101</v>
      </c>
      <c r="I2031" s="39" t="s">
        <v>102</v>
      </c>
      <c r="J2031" s="41">
        <v>3000</v>
      </c>
      <c r="K2031" s="42">
        <v>20.5</v>
      </c>
      <c r="L2031" s="43"/>
      <c r="M2031" s="43">
        <f>L2031*K2031</f>
        <v>0</v>
      </c>
      <c r="N2031" s="35">
        <v>4607116261231</v>
      </c>
    </row>
    <row r="2032" spans="1:14" ht="36" customHeight="1" outlineLevel="3" x14ac:dyDescent="0.2">
      <c r="A2032" s="45">
        <v>16281</v>
      </c>
      <c r="B2032" s="37" t="str">
        <f>HYPERLINK("http://sedek.ru/upload/iblock/38a/tomat_ranniy_83.jpg","фото")</f>
        <v>фото</v>
      </c>
      <c r="C2032" s="38"/>
      <c r="D2032" s="38"/>
      <c r="E2032" s="39"/>
      <c r="F2032" s="39" t="s">
        <v>2507</v>
      </c>
      <c r="G2032" s="44">
        <v>0.2</v>
      </c>
      <c r="H2032" s="39" t="s">
        <v>101</v>
      </c>
      <c r="I2032" s="39" t="s">
        <v>287</v>
      </c>
      <c r="J2032" s="41">
        <v>3000</v>
      </c>
      <c r="K2032" s="42">
        <v>7.1</v>
      </c>
      <c r="L2032" s="43"/>
      <c r="M2032" s="43">
        <f>L2032*K2032</f>
        <v>0</v>
      </c>
      <c r="N2032" s="35">
        <v>4607149402717</v>
      </c>
    </row>
    <row r="2033" spans="1:14" ht="36" customHeight="1" outlineLevel="3" x14ac:dyDescent="0.2">
      <c r="A2033" s="45">
        <v>15326</v>
      </c>
      <c r="B2033" s="37" t="str">
        <f>HYPERLINK("http://sedek.ru/upload/iblock/92d/tomat_rio_grand.jpg","фото")</f>
        <v>фото</v>
      </c>
      <c r="C2033" s="38"/>
      <c r="D2033" s="38"/>
      <c r="E2033" s="39"/>
      <c r="F2033" s="39" t="s">
        <v>2508</v>
      </c>
      <c r="G2033" s="44">
        <v>0.2</v>
      </c>
      <c r="H2033" s="39" t="s">
        <v>101</v>
      </c>
      <c r="I2033" s="39" t="s">
        <v>102</v>
      </c>
      <c r="J2033" s="41">
        <v>3000</v>
      </c>
      <c r="K2033" s="42">
        <v>18.8</v>
      </c>
      <c r="L2033" s="43"/>
      <c r="M2033" s="43">
        <f>L2033*K2033</f>
        <v>0</v>
      </c>
      <c r="N2033" s="35">
        <v>4607116261293</v>
      </c>
    </row>
    <row r="2034" spans="1:14" ht="36" customHeight="1" outlineLevel="3" x14ac:dyDescent="0.2">
      <c r="A2034" s="45">
        <v>15396</v>
      </c>
      <c r="B2034" s="37" t="str">
        <f>HYPERLINK("http://sedek.ru/upload/iblock/f68/tomat_rio_fuego.jpg","фото")</f>
        <v>фото</v>
      </c>
      <c r="C2034" s="38"/>
      <c r="D2034" s="38"/>
      <c r="E2034" s="39"/>
      <c r="F2034" s="39" t="s">
        <v>2509</v>
      </c>
      <c r="G2034" s="44">
        <v>0.2</v>
      </c>
      <c r="H2034" s="39" t="s">
        <v>101</v>
      </c>
      <c r="I2034" s="39" t="s">
        <v>102</v>
      </c>
      <c r="J2034" s="41">
        <v>3000</v>
      </c>
      <c r="K2034" s="42">
        <v>20.5</v>
      </c>
      <c r="L2034" s="43"/>
      <c r="M2034" s="43">
        <f>L2034*K2034</f>
        <v>0</v>
      </c>
      <c r="N2034" s="35">
        <v>4607116261309</v>
      </c>
    </row>
    <row r="2035" spans="1:14" ht="36" customHeight="1" outlineLevel="3" x14ac:dyDescent="0.2">
      <c r="A2035" s="45">
        <v>14167</v>
      </c>
      <c r="B2035" s="37" t="str">
        <f>HYPERLINK("http://sedek.ru/upload/iblock/493/tomat_rozovaya_andromeda_f1.jpg","фото")</f>
        <v>фото</v>
      </c>
      <c r="C2035" s="38"/>
      <c r="D2035" s="38"/>
      <c r="E2035" s="39"/>
      <c r="F2035" s="39" t="s">
        <v>2510</v>
      </c>
      <c r="G2035" s="54">
        <v>0.05</v>
      </c>
      <c r="H2035" s="39" t="s">
        <v>101</v>
      </c>
      <c r="I2035" s="39" t="s">
        <v>102</v>
      </c>
      <c r="J2035" s="41">
        <v>5000</v>
      </c>
      <c r="K2035" s="42">
        <v>21</v>
      </c>
      <c r="L2035" s="43"/>
      <c r="M2035" s="43">
        <f>L2035*K2035</f>
        <v>0</v>
      </c>
      <c r="N2035" s="35">
        <v>4690368015219</v>
      </c>
    </row>
    <row r="2036" spans="1:14" ht="36" customHeight="1" outlineLevel="3" x14ac:dyDescent="0.2">
      <c r="A2036" s="36" t="s">
        <v>2511</v>
      </c>
      <c r="B2036" s="37" t="str">
        <f>HYPERLINK("http://sedek.ru/upload/iblock/bb6/tomat_rozovaya_grusha.jpg","фото")</f>
        <v>фото</v>
      </c>
      <c r="C2036" s="38"/>
      <c r="D2036" s="38"/>
      <c r="E2036" s="39"/>
      <c r="F2036" s="39" t="s">
        <v>2512</v>
      </c>
      <c r="G2036" s="44">
        <v>0.1</v>
      </c>
      <c r="H2036" s="39" t="s">
        <v>101</v>
      </c>
      <c r="I2036" s="39" t="s">
        <v>102</v>
      </c>
      <c r="J2036" s="41">
        <v>4000</v>
      </c>
      <c r="K2036" s="42">
        <v>20.5</v>
      </c>
      <c r="L2036" s="43"/>
      <c r="M2036" s="43">
        <f>L2036*K2036</f>
        <v>0</v>
      </c>
      <c r="N2036" s="35">
        <v>4607116261323</v>
      </c>
    </row>
    <row r="2037" spans="1:14" ht="24" customHeight="1" outlineLevel="3" x14ac:dyDescent="0.2">
      <c r="A2037" s="45">
        <v>15919</v>
      </c>
      <c r="B2037" s="37" t="str">
        <f>HYPERLINK("http://sedek.ru/upload/iblock/41f/tomat_rozovoe_chudo_f1.JPG","фото")</f>
        <v>фото</v>
      </c>
      <c r="C2037" s="38"/>
      <c r="D2037" s="38" t="s">
        <v>266</v>
      </c>
      <c r="E2037" s="39"/>
      <c r="F2037" s="39" t="s">
        <v>2513</v>
      </c>
      <c r="G2037" s="54">
        <v>0.05</v>
      </c>
      <c r="H2037" s="39" t="s">
        <v>101</v>
      </c>
      <c r="I2037" s="39" t="s">
        <v>102</v>
      </c>
      <c r="J2037" s="41">
        <v>5000</v>
      </c>
      <c r="K2037" s="42">
        <v>40.799999999999997</v>
      </c>
      <c r="L2037" s="43"/>
      <c r="M2037" s="43">
        <f>L2037*K2037</f>
        <v>0</v>
      </c>
      <c r="N2037" s="35">
        <v>4690368013031</v>
      </c>
    </row>
    <row r="2038" spans="1:14" ht="24" customHeight="1" outlineLevel="3" x14ac:dyDescent="0.2">
      <c r="A2038" s="45">
        <v>15277</v>
      </c>
      <c r="B2038" s="37" t="str">
        <f>HYPERLINK("http://sedek.ru/upload/iblock/bac/tomat_rozovyy_gigant.jpg","фото")</f>
        <v>фото</v>
      </c>
      <c r="C2038" s="38"/>
      <c r="D2038" s="38"/>
      <c r="E2038" s="39"/>
      <c r="F2038" s="39" t="s">
        <v>2514</v>
      </c>
      <c r="G2038" s="44">
        <v>0.1</v>
      </c>
      <c r="H2038" s="39" t="s">
        <v>101</v>
      </c>
      <c r="I2038" s="39" t="s">
        <v>102</v>
      </c>
      <c r="J2038" s="41">
        <v>4000</v>
      </c>
      <c r="K2038" s="42">
        <v>15.6</v>
      </c>
      <c r="L2038" s="43"/>
      <c r="M2038" s="43">
        <f>L2038*K2038</f>
        <v>0</v>
      </c>
      <c r="N2038" s="35">
        <v>4607116261330</v>
      </c>
    </row>
    <row r="2039" spans="1:14" ht="36" customHeight="1" outlineLevel="3" x14ac:dyDescent="0.2">
      <c r="A2039" s="45">
        <v>16207</v>
      </c>
      <c r="B2039" s="37" t="str">
        <f>HYPERLINK("http://sedek.ru/upload/iblock/ff2/tomat_rozovyy_lider.jpg","фото")</f>
        <v>фото</v>
      </c>
      <c r="C2039" s="38"/>
      <c r="D2039" s="38"/>
      <c r="E2039" s="39" t="s">
        <v>2090</v>
      </c>
      <c r="F2039" s="39" t="s">
        <v>2515</v>
      </c>
      <c r="G2039" s="44">
        <v>0.1</v>
      </c>
      <c r="H2039" s="39" t="s">
        <v>101</v>
      </c>
      <c r="I2039" s="39" t="s">
        <v>102</v>
      </c>
      <c r="J2039" s="41">
        <v>4000</v>
      </c>
      <c r="K2039" s="42">
        <v>20.5</v>
      </c>
      <c r="L2039" s="43"/>
      <c r="M2039" s="43">
        <f>L2039*K2039</f>
        <v>0</v>
      </c>
      <c r="N2039" s="35">
        <v>4607116261347</v>
      </c>
    </row>
    <row r="2040" spans="1:14" ht="36" customHeight="1" outlineLevel="3" x14ac:dyDescent="0.2">
      <c r="A2040" s="45">
        <v>16207</v>
      </c>
      <c r="B2040" s="37" t="str">
        <f>HYPERLINK("http://sedek.ru/upload/iblock/ff2/tomat_rozovyy_lider.jpg","фото")</f>
        <v>фото</v>
      </c>
      <c r="C2040" s="38"/>
      <c r="D2040" s="38"/>
      <c r="E2040" s="39" t="s">
        <v>2090</v>
      </c>
      <c r="F2040" s="39" t="s">
        <v>2516</v>
      </c>
      <c r="G2040" s="44">
        <v>0.1</v>
      </c>
      <c r="H2040" s="39" t="s">
        <v>101</v>
      </c>
      <c r="I2040" s="39" t="s">
        <v>287</v>
      </c>
      <c r="J2040" s="41">
        <v>4000</v>
      </c>
      <c r="K2040" s="42">
        <v>7.9</v>
      </c>
      <c r="L2040" s="43"/>
      <c r="M2040" s="43">
        <f>L2040*K2040</f>
        <v>0</v>
      </c>
      <c r="N2040" s="35">
        <v>4690368005517</v>
      </c>
    </row>
    <row r="2041" spans="1:14" ht="36" customHeight="1" outlineLevel="3" x14ac:dyDescent="0.2">
      <c r="A2041" s="45">
        <v>16183</v>
      </c>
      <c r="B2041" s="37" t="str">
        <f>HYPERLINK("http://sedek.ru/upload/iblock/7f5/tomat_rozovyy_myasistyy.jpg","фото")</f>
        <v>фото</v>
      </c>
      <c r="C2041" s="38"/>
      <c r="D2041" s="38"/>
      <c r="E2041" s="39"/>
      <c r="F2041" s="39" t="s">
        <v>2517</v>
      </c>
      <c r="G2041" s="44">
        <v>0.1</v>
      </c>
      <c r="H2041" s="39" t="s">
        <v>101</v>
      </c>
      <c r="I2041" s="39" t="s">
        <v>102</v>
      </c>
      <c r="J2041" s="41">
        <v>4000</v>
      </c>
      <c r="K2041" s="42">
        <v>20.5</v>
      </c>
      <c r="L2041" s="43"/>
      <c r="M2041" s="43">
        <f>L2041*K2041</f>
        <v>0</v>
      </c>
      <c r="N2041" s="35">
        <v>4607149405008</v>
      </c>
    </row>
    <row r="2042" spans="1:14" ht="24" customHeight="1" outlineLevel="3" x14ac:dyDescent="0.2">
      <c r="A2042" s="45">
        <v>16993</v>
      </c>
      <c r="B2042" s="37" t="str">
        <f>HYPERLINK("http://sedek.ru/upload/iblock/ecf/tomat_rozovyy_tsar.jpg","фото")</f>
        <v>фото</v>
      </c>
      <c r="C2042" s="38"/>
      <c r="D2042" s="38"/>
      <c r="E2042" s="39"/>
      <c r="F2042" s="39" t="s">
        <v>2518</v>
      </c>
      <c r="G2042" s="44">
        <v>0.1</v>
      </c>
      <c r="H2042" s="39" t="s">
        <v>101</v>
      </c>
      <c r="I2042" s="39" t="s">
        <v>102</v>
      </c>
      <c r="J2042" s="41">
        <v>4000</v>
      </c>
      <c r="K2042" s="42">
        <v>26.3</v>
      </c>
      <c r="L2042" s="43"/>
      <c r="M2042" s="43">
        <f>L2042*K2042</f>
        <v>0</v>
      </c>
      <c r="N2042" s="35">
        <v>4607149405039</v>
      </c>
    </row>
    <row r="2043" spans="1:14" ht="36" customHeight="1" outlineLevel="3" x14ac:dyDescent="0.2">
      <c r="A2043" s="36" t="s">
        <v>2519</v>
      </c>
      <c r="B2043" s="37" t="str">
        <f>HYPERLINK("http://www.sedek.ru/upload/iblock/651/tomat_rozovyy_chempion_f1.jpg","фото")</f>
        <v>фото</v>
      </c>
      <c r="C2043" s="38"/>
      <c r="D2043" s="38"/>
      <c r="E2043" s="39"/>
      <c r="F2043" s="39" t="s">
        <v>2520</v>
      </c>
      <c r="G2043" s="54">
        <v>0.03</v>
      </c>
      <c r="H2043" s="39" t="s">
        <v>101</v>
      </c>
      <c r="I2043" s="39" t="s">
        <v>102</v>
      </c>
      <c r="J2043" s="41">
        <v>5000</v>
      </c>
      <c r="K2043" s="42">
        <v>37.299999999999997</v>
      </c>
      <c r="L2043" s="43"/>
      <c r="M2043" s="43">
        <f>L2043*K2043</f>
        <v>0</v>
      </c>
      <c r="N2043" s="35">
        <v>4690368033749</v>
      </c>
    </row>
    <row r="2044" spans="1:14" ht="24" customHeight="1" outlineLevel="3" x14ac:dyDescent="0.2">
      <c r="A2044" s="45">
        <v>15147</v>
      </c>
      <c r="B2044" s="37" t="str">
        <f>HYPERLINK("http://sedek.ru/upload/iblock/fe7/tomat_roma.jpg","фото")</f>
        <v>фото</v>
      </c>
      <c r="C2044" s="38"/>
      <c r="D2044" s="38"/>
      <c r="E2044" s="39"/>
      <c r="F2044" s="39" t="s">
        <v>2521</v>
      </c>
      <c r="G2044" s="44">
        <v>0.2</v>
      </c>
      <c r="H2044" s="39" t="s">
        <v>101</v>
      </c>
      <c r="I2044" s="39" t="s">
        <v>102</v>
      </c>
      <c r="J2044" s="41">
        <v>3000</v>
      </c>
      <c r="K2044" s="42">
        <v>20.5</v>
      </c>
      <c r="L2044" s="43"/>
      <c r="M2044" s="43">
        <f>L2044*K2044</f>
        <v>0</v>
      </c>
      <c r="N2044" s="35">
        <v>4607116261354</v>
      </c>
    </row>
    <row r="2045" spans="1:14" ht="36" customHeight="1" outlineLevel="3" x14ac:dyDescent="0.2">
      <c r="A2045" s="45">
        <v>14389</v>
      </c>
      <c r="B2045" s="37" t="str">
        <f>HYPERLINK("http://sedek.ru/upload/iblock/37c/tomat_russkaya_imperiya_f1.jpg","фото")</f>
        <v>фото</v>
      </c>
      <c r="C2045" s="38"/>
      <c r="D2045" s="38" t="s">
        <v>266</v>
      </c>
      <c r="E2045" s="39" t="s">
        <v>2270</v>
      </c>
      <c r="F2045" s="39" t="s">
        <v>2522</v>
      </c>
      <c r="G2045" s="54">
        <v>0.05</v>
      </c>
      <c r="H2045" s="39" t="s">
        <v>101</v>
      </c>
      <c r="I2045" s="39" t="s">
        <v>102</v>
      </c>
      <c r="J2045" s="41">
        <v>5000</v>
      </c>
      <c r="K2045" s="42">
        <v>44.3</v>
      </c>
      <c r="L2045" s="43"/>
      <c r="M2045" s="43">
        <f>L2045*K2045</f>
        <v>0</v>
      </c>
      <c r="N2045" s="35">
        <v>4690368014625</v>
      </c>
    </row>
    <row r="2046" spans="1:14" ht="24" customHeight="1" outlineLevel="3" x14ac:dyDescent="0.2">
      <c r="A2046" s="45">
        <v>15234</v>
      </c>
      <c r="B2046" s="37" t="str">
        <f>HYPERLINK("http://www.sedek.ru/upload/iblock/843/tomat_russkiy_bogatyr.jpg","фото")</f>
        <v>фото</v>
      </c>
      <c r="C2046" s="38"/>
      <c r="D2046" s="38"/>
      <c r="E2046" s="39"/>
      <c r="F2046" s="39" t="s">
        <v>2523</v>
      </c>
      <c r="G2046" s="44">
        <v>0.1</v>
      </c>
      <c r="H2046" s="39" t="s">
        <v>101</v>
      </c>
      <c r="I2046" s="39" t="s">
        <v>102</v>
      </c>
      <c r="J2046" s="41">
        <v>4000</v>
      </c>
      <c r="K2046" s="42">
        <v>20.5</v>
      </c>
      <c r="L2046" s="43"/>
      <c r="M2046" s="43">
        <f>L2046*K2046</f>
        <v>0</v>
      </c>
      <c r="N2046" s="35">
        <v>4607116261378</v>
      </c>
    </row>
    <row r="2047" spans="1:14" ht="24" customHeight="1" outlineLevel="3" x14ac:dyDescent="0.2">
      <c r="A2047" s="45">
        <v>15234</v>
      </c>
      <c r="B2047" s="37" t="str">
        <f>HYPERLINK("http://www.sedek.ru/upload/iblock/843/tomat_russkiy_bogatyr.jpg","фото")</f>
        <v>фото</v>
      </c>
      <c r="C2047" s="38"/>
      <c r="D2047" s="38"/>
      <c r="E2047" s="39"/>
      <c r="F2047" s="39" t="s">
        <v>2524</v>
      </c>
      <c r="G2047" s="44">
        <v>0.1</v>
      </c>
      <c r="H2047" s="39" t="s">
        <v>101</v>
      </c>
      <c r="I2047" s="39" t="s">
        <v>287</v>
      </c>
      <c r="J2047" s="41">
        <v>4000</v>
      </c>
      <c r="K2047" s="42">
        <v>6.8</v>
      </c>
      <c r="L2047" s="43"/>
      <c r="M2047" s="43">
        <f>L2047*K2047</f>
        <v>0</v>
      </c>
      <c r="N2047" s="35">
        <v>4607149405978</v>
      </c>
    </row>
    <row r="2048" spans="1:14" ht="36" customHeight="1" outlineLevel="3" x14ac:dyDescent="0.2">
      <c r="A2048" s="45">
        <v>14420</v>
      </c>
      <c r="B2048" s="37" t="str">
        <f>HYPERLINK("http://sedek.ru/upload/iblock/d36/tomat_russkiy_vityaz_f1.jpg","фото")</f>
        <v>фото</v>
      </c>
      <c r="C2048" s="38"/>
      <c r="D2048" s="38"/>
      <c r="E2048" s="39"/>
      <c r="F2048" s="39" t="s">
        <v>2525</v>
      </c>
      <c r="G2048" s="54">
        <v>0.05</v>
      </c>
      <c r="H2048" s="39" t="s">
        <v>101</v>
      </c>
      <c r="I2048" s="39" t="s">
        <v>102</v>
      </c>
      <c r="J2048" s="41">
        <v>5000</v>
      </c>
      <c r="K2048" s="42">
        <v>34.799999999999997</v>
      </c>
      <c r="L2048" s="43"/>
      <c r="M2048" s="43">
        <f>L2048*K2048</f>
        <v>0</v>
      </c>
      <c r="N2048" s="35">
        <v>4690368014632</v>
      </c>
    </row>
    <row r="2049" spans="1:14" ht="24" customHeight="1" outlineLevel="3" x14ac:dyDescent="0.2">
      <c r="A2049" s="45">
        <v>14418</v>
      </c>
      <c r="B2049" s="37" t="str">
        <f>HYPERLINK("http://sedek.ru/upload/iblock/ea4/tomat_russkiy_geroy_f1.jpg","фото")</f>
        <v>фото</v>
      </c>
      <c r="C2049" s="38"/>
      <c r="D2049" s="38"/>
      <c r="E2049" s="39"/>
      <c r="F2049" s="39" t="s">
        <v>2526</v>
      </c>
      <c r="G2049" s="54">
        <v>0.05</v>
      </c>
      <c r="H2049" s="39" t="s">
        <v>101</v>
      </c>
      <c r="I2049" s="39" t="s">
        <v>102</v>
      </c>
      <c r="J2049" s="41">
        <v>5000</v>
      </c>
      <c r="K2049" s="42">
        <v>33.799999999999997</v>
      </c>
      <c r="L2049" s="43"/>
      <c r="M2049" s="43">
        <f>L2049*K2049</f>
        <v>0</v>
      </c>
      <c r="N2049" s="35">
        <v>4690368014649</v>
      </c>
    </row>
    <row r="2050" spans="1:14" ht="24" customHeight="1" outlineLevel="3" x14ac:dyDescent="0.2">
      <c r="A2050" s="45">
        <v>14421</v>
      </c>
      <c r="B2050" s="37" t="str">
        <f>HYPERLINK("http://sedek.ru/upload/iblock/116/tomat_russkiy_tsar_f1.jpg","фото")</f>
        <v>фото</v>
      </c>
      <c r="C2050" s="38"/>
      <c r="D2050" s="38"/>
      <c r="E2050" s="39" t="s">
        <v>2270</v>
      </c>
      <c r="F2050" s="39" t="s">
        <v>2527</v>
      </c>
      <c r="G2050" s="54">
        <v>0.05</v>
      </c>
      <c r="H2050" s="39" t="s">
        <v>101</v>
      </c>
      <c r="I2050" s="39" t="s">
        <v>102</v>
      </c>
      <c r="J2050" s="41">
        <v>5000</v>
      </c>
      <c r="K2050" s="42">
        <v>30.9</v>
      </c>
      <c r="L2050" s="43"/>
      <c r="M2050" s="43">
        <f>L2050*K2050</f>
        <v>0</v>
      </c>
      <c r="N2050" s="35">
        <v>4690368014656</v>
      </c>
    </row>
    <row r="2051" spans="1:14" ht="24" customHeight="1" outlineLevel="3" x14ac:dyDescent="0.2">
      <c r="A2051" s="45">
        <v>15179</v>
      </c>
      <c r="B2051" s="37" t="str">
        <f>HYPERLINK("http://sedek.ru/upload/iblock/8ef/tomat_ryabchik.jpg","фото")</f>
        <v>фото</v>
      </c>
      <c r="C2051" s="38"/>
      <c r="D2051" s="38"/>
      <c r="E2051" s="39"/>
      <c r="F2051" s="39" t="s">
        <v>2528</v>
      </c>
      <c r="G2051" s="44">
        <v>0.2</v>
      </c>
      <c r="H2051" s="39" t="s">
        <v>101</v>
      </c>
      <c r="I2051" s="39" t="s">
        <v>102</v>
      </c>
      <c r="J2051" s="41">
        <v>3000</v>
      </c>
      <c r="K2051" s="42">
        <v>19.5</v>
      </c>
      <c r="L2051" s="43"/>
      <c r="M2051" s="43">
        <f>L2051*K2051</f>
        <v>0</v>
      </c>
      <c r="N2051" s="35">
        <v>4607116261385</v>
      </c>
    </row>
    <row r="2052" spans="1:14" ht="36" customHeight="1" outlineLevel="3" x14ac:dyDescent="0.2">
      <c r="A2052" s="36" t="s">
        <v>2529</v>
      </c>
      <c r="B2052" s="37" t="str">
        <f>HYPERLINK("http://sedek.ru/upload/resize_cache/iblock/b58/lhji8dtx2kqtpumd6fc4nqc10ptcha00/150_260_140cd750bba9870f18aada2478b24840a/tomat_sambol.jpg","фото")</f>
        <v>фото</v>
      </c>
      <c r="C2052" s="38" t="s">
        <v>266</v>
      </c>
      <c r="D2052" s="38" t="s">
        <v>266</v>
      </c>
      <c r="E2052" s="39"/>
      <c r="F2052" s="39" t="s">
        <v>2530</v>
      </c>
      <c r="G2052" s="44">
        <v>0.1</v>
      </c>
      <c r="H2052" s="39" t="s">
        <v>101</v>
      </c>
      <c r="I2052" s="39" t="s">
        <v>102</v>
      </c>
      <c r="J2052" s="41">
        <v>3000</v>
      </c>
      <c r="K2052" s="42">
        <v>31.5</v>
      </c>
      <c r="L2052" s="43"/>
      <c r="M2052" s="43">
        <f>L2052*K2052</f>
        <v>0</v>
      </c>
      <c r="N2052" s="35">
        <v>4690368036450</v>
      </c>
    </row>
    <row r="2053" spans="1:14" ht="36" customHeight="1" outlineLevel="3" x14ac:dyDescent="0.2">
      <c r="A2053" s="36" t="s">
        <v>2531</v>
      </c>
      <c r="B2053" s="37" t="str">
        <f>HYPERLINK("http://sedek.ru/upload/resize_cache/iblock/408/12l5pbff9f339mbgtfijrap2xk94hja4/150_260_140cd750bba9870f18aada2478b24840a/tomat_sambol_ananasnyy.jpg","фото")</f>
        <v>фото</v>
      </c>
      <c r="C2053" s="38" t="s">
        <v>266</v>
      </c>
      <c r="D2053" s="38" t="s">
        <v>266</v>
      </c>
      <c r="E2053" s="39"/>
      <c r="F2053" s="39" t="s">
        <v>2532</v>
      </c>
      <c r="G2053" s="44">
        <v>0.1</v>
      </c>
      <c r="H2053" s="39" t="s">
        <v>101</v>
      </c>
      <c r="I2053" s="39" t="s">
        <v>102</v>
      </c>
      <c r="J2053" s="41">
        <v>3000</v>
      </c>
      <c r="K2053" s="42">
        <v>59.7</v>
      </c>
      <c r="L2053" s="43"/>
      <c r="M2053" s="43">
        <f>L2053*K2053</f>
        <v>0</v>
      </c>
      <c r="N2053" s="35">
        <v>4690368042758</v>
      </c>
    </row>
    <row r="2054" spans="1:14" ht="36" customHeight="1" outlineLevel="3" x14ac:dyDescent="0.2">
      <c r="A2054" s="36" t="s">
        <v>2533</v>
      </c>
      <c r="B2054" s="37" t="str">
        <f>HYPERLINK("http://sedek.ru/upload/resize_cache/iblock/8ea/6vk273ez0vkr6xn44k33l2p6twwtt3sj/150_260_140cd750bba9870f18aada2478b24840a/tomat_sambol_rozovyy.jpg","фото")</f>
        <v>фото</v>
      </c>
      <c r="C2054" s="38" t="s">
        <v>266</v>
      </c>
      <c r="D2054" s="38" t="s">
        <v>266</v>
      </c>
      <c r="E2054" s="39"/>
      <c r="F2054" s="39" t="s">
        <v>2534</v>
      </c>
      <c r="G2054" s="44">
        <v>0.1</v>
      </c>
      <c r="H2054" s="39"/>
      <c r="I2054" s="39" t="s">
        <v>102</v>
      </c>
      <c r="J2054" s="41">
        <v>3000</v>
      </c>
      <c r="K2054" s="42">
        <v>37.1</v>
      </c>
      <c r="L2054" s="43"/>
      <c r="M2054" s="43">
        <f>L2054*K2054</f>
        <v>0</v>
      </c>
      <c r="N2054" s="35">
        <v>4690368044684</v>
      </c>
    </row>
    <row r="2055" spans="1:14" ht="24" customHeight="1" outlineLevel="3" x14ac:dyDescent="0.2">
      <c r="A2055" s="36" t="s">
        <v>2535</v>
      </c>
      <c r="B2055" s="37" t="str">
        <f>HYPERLINK("http://sedek.ru/upload/iblock/e94/9c39jy6fvr1mv3gx7v4ceo0xelj8ikl6/tomat_f1samkon.jpg","фото")</f>
        <v>фото</v>
      </c>
      <c r="C2055" s="38" t="s">
        <v>266</v>
      </c>
      <c r="D2055" s="38"/>
      <c r="E2055" s="39"/>
      <c r="F2055" s="39" t="s">
        <v>2536</v>
      </c>
      <c r="G2055" s="54">
        <v>0.05</v>
      </c>
      <c r="H2055" s="39"/>
      <c r="I2055" s="39" t="s">
        <v>102</v>
      </c>
      <c r="J2055" s="41">
        <v>5000</v>
      </c>
      <c r="K2055" s="42">
        <v>48.4</v>
      </c>
      <c r="L2055" s="43"/>
      <c r="M2055" s="43">
        <f>L2055*K2055</f>
        <v>0</v>
      </c>
      <c r="N2055" s="35">
        <v>4690368044615</v>
      </c>
    </row>
    <row r="2056" spans="1:14" ht="24" customHeight="1" outlineLevel="3" x14ac:dyDescent="0.2">
      <c r="A2056" s="36" t="s">
        <v>2537</v>
      </c>
      <c r="B2056" s="37" t="str">
        <f>HYPERLINK("http://sedek.ru/upload/iblock/2c4/abg1sp5f5oeqavk2rok5tz68oa54xo63/tomat_f1samkon_7.jpg","фото")</f>
        <v>фото</v>
      </c>
      <c r="C2056" s="38" t="s">
        <v>266</v>
      </c>
      <c r="D2056" s="38"/>
      <c r="E2056" s="39"/>
      <c r="F2056" s="39" t="s">
        <v>2538</v>
      </c>
      <c r="G2056" s="54">
        <v>0.05</v>
      </c>
      <c r="H2056" s="39"/>
      <c r="I2056" s="39" t="s">
        <v>102</v>
      </c>
      <c r="J2056" s="41">
        <v>5000</v>
      </c>
      <c r="K2056" s="42">
        <v>48.4</v>
      </c>
      <c r="L2056" s="43"/>
      <c r="M2056" s="43">
        <f>L2056*K2056</f>
        <v>0</v>
      </c>
      <c r="N2056" s="35">
        <v>4690368044585</v>
      </c>
    </row>
    <row r="2057" spans="1:14" ht="24" customHeight="1" outlineLevel="3" x14ac:dyDescent="0.2">
      <c r="A2057" s="36" t="s">
        <v>2539</v>
      </c>
      <c r="B2057" s="37" t="str">
        <f>HYPERLINK("http://sedek.ru/upload/iblock/e1f/elq9tos8fwg0y9wpf9dozsuhg19ix111/tomat_f1samkon_11.jpg","фото")</f>
        <v>фото</v>
      </c>
      <c r="C2057" s="38" t="s">
        <v>266</v>
      </c>
      <c r="D2057" s="38"/>
      <c r="E2057" s="39"/>
      <c r="F2057" s="39" t="s">
        <v>2540</v>
      </c>
      <c r="G2057" s="54">
        <v>0.05</v>
      </c>
      <c r="H2057" s="39"/>
      <c r="I2057" s="39" t="s">
        <v>102</v>
      </c>
      <c r="J2057" s="41">
        <v>5000</v>
      </c>
      <c r="K2057" s="42">
        <v>48.4</v>
      </c>
      <c r="L2057" s="43"/>
      <c r="M2057" s="43">
        <f>L2057*K2057</f>
        <v>0</v>
      </c>
      <c r="N2057" s="35">
        <v>4690368044608</v>
      </c>
    </row>
    <row r="2058" spans="1:14" ht="24" customHeight="1" outlineLevel="3" x14ac:dyDescent="0.2">
      <c r="A2058" s="36" t="s">
        <v>2541</v>
      </c>
      <c r="B2058" s="37" t="str">
        <f>HYPERLINK("http://sedek.ru/upload/resize_cache/iblock/b34/x679eaukjrtp84w6o4kbdb4vkofbeu9i/150_260_140cd750bba9870f18aada2478b24840a/tomat_f1samkon_12.jpg","фото")</f>
        <v>фото</v>
      </c>
      <c r="C2058" s="38" t="s">
        <v>266</v>
      </c>
      <c r="D2058" s="38"/>
      <c r="E2058" s="39"/>
      <c r="F2058" s="39" t="s">
        <v>2542</v>
      </c>
      <c r="G2058" s="54">
        <v>0.05</v>
      </c>
      <c r="H2058" s="39"/>
      <c r="I2058" s="39" t="s">
        <v>102</v>
      </c>
      <c r="J2058" s="41">
        <v>5000</v>
      </c>
      <c r="K2058" s="42">
        <v>48.4</v>
      </c>
      <c r="L2058" s="43"/>
      <c r="M2058" s="43">
        <f>L2058*K2058</f>
        <v>0</v>
      </c>
      <c r="N2058" s="35">
        <v>4690368044622</v>
      </c>
    </row>
    <row r="2059" spans="1:14" ht="36" customHeight="1" outlineLevel="3" x14ac:dyDescent="0.2">
      <c r="A2059" s="45">
        <v>14750</v>
      </c>
      <c r="B2059" s="37" t="str">
        <f>HYPERLINK("http://sedek.ru/upload/iblock/4de/tomat_samotsvet_zolotoy_f1.jpg","фото")</f>
        <v>фото</v>
      </c>
      <c r="C2059" s="38"/>
      <c r="D2059" s="38" t="s">
        <v>266</v>
      </c>
      <c r="E2059" s="39"/>
      <c r="F2059" s="39" t="s">
        <v>2543</v>
      </c>
      <c r="G2059" s="54">
        <v>0.05</v>
      </c>
      <c r="H2059" s="39" t="s">
        <v>101</v>
      </c>
      <c r="I2059" s="39" t="s">
        <v>102</v>
      </c>
      <c r="J2059" s="41">
        <v>5000</v>
      </c>
      <c r="K2059" s="42">
        <v>24.5</v>
      </c>
      <c r="L2059" s="43"/>
      <c r="M2059" s="43">
        <f>L2059*K2059</f>
        <v>0</v>
      </c>
      <c r="N2059" s="35">
        <v>4607149405091</v>
      </c>
    </row>
    <row r="2060" spans="1:14" ht="36" customHeight="1" outlineLevel="3" x14ac:dyDescent="0.2">
      <c r="A2060" s="45">
        <v>15543</v>
      </c>
      <c r="B2060" s="37" t="str">
        <f>HYPERLINK("http://sedek.ru/upload/iblock/7cc/tomat_samotsvet_izumrudnyy_f1.jpg","фото")</f>
        <v>фото</v>
      </c>
      <c r="C2060" s="38"/>
      <c r="D2060" s="38" t="s">
        <v>266</v>
      </c>
      <c r="E2060" s="39" t="s">
        <v>2173</v>
      </c>
      <c r="F2060" s="39" t="s">
        <v>2544</v>
      </c>
      <c r="G2060" s="54">
        <v>0.05</v>
      </c>
      <c r="H2060" s="39" t="s">
        <v>101</v>
      </c>
      <c r="I2060" s="39" t="s">
        <v>102</v>
      </c>
      <c r="J2060" s="41">
        <v>5000</v>
      </c>
      <c r="K2060" s="42">
        <v>28.9</v>
      </c>
      <c r="L2060" s="43"/>
      <c r="M2060" s="43">
        <f>L2060*K2060</f>
        <v>0</v>
      </c>
      <c r="N2060" s="35">
        <v>4607149405121</v>
      </c>
    </row>
    <row r="2061" spans="1:14" ht="36" customHeight="1" outlineLevel="3" x14ac:dyDescent="0.2">
      <c r="A2061" s="45">
        <v>15543</v>
      </c>
      <c r="B2061" s="37" t="str">
        <f>HYPERLINK("http://sedek.ru/upload/iblock/7cc/tomat_samotsvet_izumrudnyy_f1.jpg","фото")</f>
        <v>фото</v>
      </c>
      <c r="C2061" s="38"/>
      <c r="D2061" s="38" t="s">
        <v>266</v>
      </c>
      <c r="E2061" s="39" t="s">
        <v>2173</v>
      </c>
      <c r="F2061" s="39" t="s">
        <v>2545</v>
      </c>
      <c r="G2061" s="44">
        <v>0.1</v>
      </c>
      <c r="H2061" s="39" t="s">
        <v>101</v>
      </c>
      <c r="I2061" s="39" t="s">
        <v>102</v>
      </c>
      <c r="J2061" s="41">
        <v>5000</v>
      </c>
      <c r="K2061" s="42">
        <v>28.9</v>
      </c>
      <c r="L2061" s="43"/>
      <c r="M2061" s="43">
        <f>L2061*K2061</f>
        <v>0</v>
      </c>
      <c r="N2061" s="35">
        <v>4607149405121</v>
      </c>
    </row>
    <row r="2062" spans="1:14" ht="36" customHeight="1" outlineLevel="3" x14ac:dyDescent="0.2">
      <c r="A2062" s="45">
        <v>16994</v>
      </c>
      <c r="B2062" s="37" t="str">
        <f>HYPERLINK("http://sedek.ru/upload/iblock/84b/tomat_samotsvet_luchistyy_f1.jpg","фото")</f>
        <v>фото</v>
      </c>
      <c r="C2062" s="38"/>
      <c r="D2062" s="38"/>
      <c r="E2062" s="39"/>
      <c r="F2062" s="39" t="s">
        <v>2546</v>
      </c>
      <c r="G2062" s="54">
        <v>0.05</v>
      </c>
      <c r="H2062" s="39" t="s">
        <v>101</v>
      </c>
      <c r="I2062" s="39" t="s">
        <v>102</v>
      </c>
      <c r="J2062" s="41">
        <v>5000</v>
      </c>
      <c r="K2062" s="42">
        <v>23.2</v>
      </c>
      <c r="L2062" s="43"/>
      <c r="M2062" s="43">
        <f>L2062*K2062</f>
        <v>0</v>
      </c>
      <c r="N2062" s="35">
        <v>4607149405107</v>
      </c>
    </row>
    <row r="2063" spans="1:14" ht="36" customHeight="1" outlineLevel="3" x14ac:dyDescent="0.2">
      <c r="A2063" s="45">
        <v>13550</v>
      </c>
      <c r="B2063" s="37" t="str">
        <f>HYPERLINK("http://sedek.ru/upload/iblock/567/tomat_samotsvet_nefritovyy_f1.JPG","фото")</f>
        <v>фото</v>
      </c>
      <c r="C2063" s="38"/>
      <c r="D2063" s="38" t="s">
        <v>266</v>
      </c>
      <c r="E2063" s="39" t="s">
        <v>2173</v>
      </c>
      <c r="F2063" s="39" t="s">
        <v>2547</v>
      </c>
      <c r="G2063" s="54">
        <v>0.05</v>
      </c>
      <c r="H2063" s="39" t="s">
        <v>101</v>
      </c>
      <c r="I2063" s="39" t="s">
        <v>102</v>
      </c>
      <c r="J2063" s="41">
        <v>5000</v>
      </c>
      <c r="K2063" s="42">
        <v>27.5</v>
      </c>
      <c r="L2063" s="43"/>
      <c r="M2063" s="43">
        <f>L2063*K2063</f>
        <v>0</v>
      </c>
      <c r="N2063" s="35">
        <v>4607149405114</v>
      </c>
    </row>
    <row r="2064" spans="1:14" ht="36" customHeight="1" outlineLevel="3" x14ac:dyDescent="0.2">
      <c r="A2064" s="45">
        <v>13550</v>
      </c>
      <c r="B2064" s="37" t="str">
        <f>HYPERLINK("http://sedek.ru/upload/iblock/567/tomat_samotsvet_nefritovyy_f1.JPG","фото")</f>
        <v>фото</v>
      </c>
      <c r="C2064" s="38"/>
      <c r="D2064" s="38" t="s">
        <v>266</v>
      </c>
      <c r="E2064" s="39" t="s">
        <v>2173</v>
      </c>
      <c r="F2064" s="39" t="s">
        <v>2548</v>
      </c>
      <c r="G2064" s="44">
        <v>0.1</v>
      </c>
      <c r="H2064" s="39" t="s">
        <v>101</v>
      </c>
      <c r="I2064" s="39" t="s">
        <v>102</v>
      </c>
      <c r="J2064" s="41">
        <v>5000</v>
      </c>
      <c r="K2064" s="42">
        <v>28.9</v>
      </c>
      <c r="L2064" s="43"/>
      <c r="M2064" s="43">
        <f>L2064*K2064</f>
        <v>0</v>
      </c>
      <c r="N2064" s="35">
        <v>4607149405114</v>
      </c>
    </row>
    <row r="2065" spans="1:14" ht="36" customHeight="1" outlineLevel="3" x14ac:dyDescent="0.2">
      <c r="A2065" s="45">
        <v>16364</v>
      </c>
      <c r="B2065" s="37" t="str">
        <f>HYPERLINK("http://sedek.ru/upload/iblock/d8e/tomat_samotsvet_sakharnyy.jpg","фото")</f>
        <v>фото</v>
      </c>
      <c r="C2065" s="38"/>
      <c r="D2065" s="38" t="s">
        <v>266</v>
      </c>
      <c r="E2065" s="39"/>
      <c r="F2065" s="39" t="s">
        <v>2549</v>
      </c>
      <c r="G2065" s="54">
        <v>0.05</v>
      </c>
      <c r="H2065" s="39" t="s">
        <v>101</v>
      </c>
      <c r="I2065" s="39" t="s">
        <v>102</v>
      </c>
      <c r="J2065" s="41">
        <v>5000</v>
      </c>
      <c r="K2065" s="42">
        <v>24.5</v>
      </c>
      <c r="L2065" s="43"/>
      <c r="M2065" s="43">
        <f>L2065*K2065</f>
        <v>0</v>
      </c>
      <c r="N2065" s="35">
        <v>4607149405138</v>
      </c>
    </row>
    <row r="2066" spans="1:14" ht="24" customHeight="1" outlineLevel="3" x14ac:dyDescent="0.2">
      <c r="A2066" s="36" t="s">
        <v>2550</v>
      </c>
      <c r="B2066" s="37" t="str">
        <f>HYPERLINK("http://www.sedek.ru/upload/iblock/29d/tomat_samran_samyy_ranniy.jpg","фото")</f>
        <v>фото</v>
      </c>
      <c r="C2066" s="38"/>
      <c r="D2066" s="38" t="s">
        <v>266</v>
      </c>
      <c r="E2066" s="39"/>
      <c r="F2066" s="39" t="s">
        <v>2551</v>
      </c>
      <c r="G2066" s="44">
        <v>0.1</v>
      </c>
      <c r="H2066" s="39" t="s">
        <v>101</v>
      </c>
      <c r="I2066" s="39" t="s">
        <v>102</v>
      </c>
      <c r="J2066" s="41">
        <v>4000</v>
      </c>
      <c r="K2066" s="42">
        <v>21.4</v>
      </c>
      <c r="L2066" s="43"/>
      <c r="M2066" s="43">
        <f>L2066*K2066</f>
        <v>0</v>
      </c>
      <c r="N2066" s="35">
        <v>4690368031417</v>
      </c>
    </row>
    <row r="2067" spans="1:14" ht="12" customHeight="1" outlineLevel="3" x14ac:dyDescent="0.2">
      <c r="A2067" s="36" t="s">
        <v>2552</v>
      </c>
      <c r="B2067" s="37" t="str">
        <f>HYPERLINK("http://sedek.ru/upload/iblock/601/lpcj406cpup0u0wll5x03xfrekahcy3h/tomat_samran_2_kustovoy_krasnyy.jpg","фото")</f>
        <v>фото</v>
      </c>
      <c r="C2067" s="38" t="s">
        <v>266</v>
      </c>
      <c r="D2067" s="38" t="s">
        <v>266</v>
      </c>
      <c r="E2067" s="39"/>
      <c r="F2067" s="39" t="s">
        <v>2553</v>
      </c>
      <c r="G2067" s="44">
        <v>0.1</v>
      </c>
      <c r="H2067" s="39"/>
      <c r="I2067" s="39" t="s">
        <v>102</v>
      </c>
      <c r="J2067" s="41">
        <v>4000</v>
      </c>
      <c r="K2067" s="42">
        <v>21.4</v>
      </c>
      <c r="L2067" s="43"/>
      <c r="M2067" s="43">
        <f>L2067*K2067</f>
        <v>0</v>
      </c>
      <c r="N2067" s="35">
        <v>4690368044714</v>
      </c>
    </row>
    <row r="2068" spans="1:14" ht="12" customHeight="1" outlineLevel="3" x14ac:dyDescent="0.2">
      <c r="A2068" s="36" t="s">
        <v>2554</v>
      </c>
      <c r="B2068" s="37"/>
      <c r="C2068" s="38" t="s">
        <v>266</v>
      </c>
      <c r="D2068" s="38"/>
      <c r="E2068" s="39"/>
      <c r="F2068" s="39" t="s">
        <v>2555</v>
      </c>
      <c r="G2068" s="44">
        <v>0.1</v>
      </c>
      <c r="H2068" s="39"/>
      <c r="I2068" s="39" t="s">
        <v>102</v>
      </c>
      <c r="J2068" s="41">
        <v>4000</v>
      </c>
      <c r="K2068" s="42">
        <v>21.4</v>
      </c>
      <c r="L2068" s="43"/>
      <c r="M2068" s="43">
        <f>L2068*K2068</f>
        <v>0</v>
      </c>
      <c r="N2068" s="35">
        <v>4690368045179</v>
      </c>
    </row>
    <row r="2069" spans="1:14" ht="36" customHeight="1" outlineLevel="3" x14ac:dyDescent="0.2">
      <c r="A2069" s="36" t="s">
        <v>2556</v>
      </c>
      <c r="B2069" s="37" t="str">
        <f>HYPERLINK("http://www.sedek.ru/upload/iblock/027/kl9hiab44lf4xcj81b53nk1tii56be8x/tomat_samcherrito_f1.jpg","фото")</f>
        <v>фото</v>
      </c>
      <c r="C2069" s="38" t="s">
        <v>266</v>
      </c>
      <c r="D2069" s="38" t="s">
        <v>266</v>
      </c>
      <c r="E2069" s="39"/>
      <c r="F2069" s="39" t="s">
        <v>2557</v>
      </c>
      <c r="G2069" s="54">
        <v>0.05</v>
      </c>
      <c r="H2069" s="39"/>
      <c r="I2069" s="39" t="s">
        <v>102</v>
      </c>
      <c r="J2069" s="41">
        <v>5000</v>
      </c>
      <c r="K2069" s="42">
        <v>58.4</v>
      </c>
      <c r="L2069" s="43"/>
      <c r="M2069" s="43">
        <f>L2069*K2069</f>
        <v>0</v>
      </c>
      <c r="N2069" s="35">
        <v>4690368044660</v>
      </c>
    </row>
    <row r="2070" spans="1:14" ht="36" customHeight="1" outlineLevel="3" x14ac:dyDescent="0.2">
      <c r="A2070" s="36" t="s">
        <v>2558</v>
      </c>
      <c r="B2070" s="37" t="str">
        <f>HYPERLINK("http://sedek.ru/upload/resize_cache/iblock/e9a/opgoxqla8uzn4wevjfcfw82gigvb1k0y/360_9999_140cd750bba9870f18aada2478b24840a/tomat_f1_samcherrito_krimson.jpg","фото")</f>
        <v>фото</v>
      </c>
      <c r="C2070" s="38" t="s">
        <v>266</v>
      </c>
      <c r="D2070" s="38"/>
      <c r="E2070" s="39"/>
      <c r="F2070" s="39" t="s">
        <v>2559</v>
      </c>
      <c r="G2070" s="54">
        <v>0.05</v>
      </c>
      <c r="H2070" s="39"/>
      <c r="I2070" s="39" t="s">
        <v>102</v>
      </c>
      <c r="J2070" s="41">
        <v>5000</v>
      </c>
      <c r="K2070" s="42">
        <v>58.4</v>
      </c>
      <c r="L2070" s="43"/>
      <c r="M2070" s="43">
        <f>L2070*K2070</f>
        <v>0</v>
      </c>
      <c r="N2070" s="35">
        <v>4690368044639</v>
      </c>
    </row>
    <row r="2071" spans="1:14" ht="36" customHeight="1" outlineLevel="3" x14ac:dyDescent="0.2">
      <c r="A2071" s="36" t="s">
        <v>2560</v>
      </c>
      <c r="B2071" s="37" t="str">
        <f>HYPERLINK("http://sedek.ru/upload/resize_cache/iblock/8ac/yj94x9dad2gbide9jlrzk32xwalrbnl0/150_260_140cd750bba9870f18aada2478b24840a/tomat_f1samcherrito_pink.jpg","фото")</f>
        <v>фото</v>
      </c>
      <c r="C2071" s="38" t="s">
        <v>266</v>
      </c>
      <c r="D2071" s="38"/>
      <c r="E2071" s="39"/>
      <c r="F2071" s="39" t="s">
        <v>2561</v>
      </c>
      <c r="G2071" s="54">
        <v>0.05</v>
      </c>
      <c r="H2071" s="39"/>
      <c r="I2071" s="39" t="s">
        <v>102</v>
      </c>
      <c r="J2071" s="41">
        <v>5000</v>
      </c>
      <c r="K2071" s="42">
        <v>58.4</v>
      </c>
      <c r="L2071" s="43"/>
      <c r="M2071" s="43">
        <f>L2071*K2071</f>
        <v>0</v>
      </c>
      <c r="N2071" s="35">
        <v>4690368044646</v>
      </c>
    </row>
    <row r="2072" spans="1:14" ht="36" customHeight="1" outlineLevel="3" x14ac:dyDescent="0.2">
      <c r="A2072" s="36" t="s">
        <v>2562</v>
      </c>
      <c r="B2072" s="37" t="str">
        <f>HYPERLINK("http://sedek.ru/upload/resize_cache/iblock/3c3/hpky3vbqqd1j32wjd26bqlpv41dltrul/150_260_140cd750bba9870f18aada2478b24840a/tomat_f1camcherrito_red.jpg","фото")</f>
        <v>фото</v>
      </c>
      <c r="C2072" s="38" t="s">
        <v>266</v>
      </c>
      <c r="D2072" s="38" t="s">
        <v>266</v>
      </c>
      <c r="E2072" s="39"/>
      <c r="F2072" s="39" t="s">
        <v>2563</v>
      </c>
      <c r="G2072" s="54">
        <v>0.05</v>
      </c>
      <c r="H2072" s="39"/>
      <c r="I2072" s="39" t="s">
        <v>102</v>
      </c>
      <c r="J2072" s="41">
        <v>5000</v>
      </c>
      <c r="K2072" s="42">
        <v>58.4</v>
      </c>
      <c r="L2072" s="43"/>
      <c r="M2072" s="43">
        <f>L2072*K2072</f>
        <v>0</v>
      </c>
      <c r="N2072" s="35">
        <v>4690368044653</v>
      </c>
    </row>
    <row r="2073" spans="1:14" ht="36" customHeight="1" outlineLevel="3" x14ac:dyDescent="0.2">
      <c r="A2073" s="45">
        <v>15103</v>
      </c>
      <c r="B2073" s="37" t="str">
        <f>HYPERLINK("http://sedek.ru/upload/iblock/329/tomat_sancho_pansa_f1.jpg","фото")</f>
        <v>фото</v>
      </c>
      <c r="C2073" s="38"/>
      <c r="D2073" s="38"/>
      <c r="E2073" s="39"/>
      <c r="F2073" s="39" t="s">
        <v>2564</v>
      </c>
      <c r="G2073" s="44">
        <v>0.1</v>
      </c>
      <c r="H2073" s="39" t="s">
        <v>101</v>
      </c>
      <c r="I2073" s="39" t="s">
        <v>102</v>
      </c>
      <c r="J2073" s="41">
        <v>4000</v>
      </c>
      <c r="K2073" s="42">
        <v>19.8</v>
      </c>
      <c r="L2073" s="43"/>
      <c r="M2073" s="43">
        <f>L2073*K2073</f>
        <v>0</v>
      </c>
      <c r="N2073" s="35">
        <v>4607015185577</v>
      </c>
    </row>
    <row r="2074" spans="1:14" ht="36" customHeight="1" outlineLevel="3" x14ac:dyDescent="0.2">
      <c r="A2074" s="45">
        <v>15569</v>
      </c>
      <c r="B2074" s="37" t="str">
        <f>HYPERLINK("http://sedek.ru/upload/iblock/de6/tomat_sanka.jpg","фото")</f>
        <v>фото</v>
      </c>
      <c r="C2074" s="38"/>
      <c r="D2074" s="38"/>
      <c r="E2074" s="39"/>
      <c r="F2074" s="39" t="s">
        <v>2565</v>
      </c>
      <c r="G2074" s="44">
        <v>0.1</v>
      </c>
      <c r="H2074" s="39" t="s">
        <v>101</v>
      </c>
      <c r="I2074" s="39" t="s">
        <v>102</v>
      </c>
      <c r="J2074" s="41">
        <v>4000</v>
      </c>
      <c r="K2074" s="42">
        <v>18.8</v>
      </c>
      <c r="L2074" s="43"/>
      <c r="M2074" s="43">
        <f>L2074*K2074</f>
        <v>0</v>
      </c>
      <c r="N2074" s="35">
        <v>4607116261422</v>
      </c>
    </row>
    <row r="2075" spans="1:14" ht="36" customHeight="1" outlineLevel="3" x14ac:dyDescent="0.2">
      <c r="A2075" s="45">
        <v>15569</v>
      </c>
      <c r="B2075" s="37" t="str">
        <f>HYPERLINK("http://sedek.ru/upload/iblock/de6/tomat_sanka.jpg","фото")</f>
        <v>фото</v>
      </c>
      <c r="C2075" s="38"/>
      <c r="D2075" s="38"/>
      <c r="E2075" s="39"/>
      <c r="F2075" s="39" t="s">
        <v>2566</v>
      </c>
      <c r="G2075" s="44">
        <v>0.1</v>
      </c>
      <c r="H2075" s="39" t="s">
        <v>101</v>
      </c>
      <c r="I2075" s="39" t="s">
        <v>287</v>
      </c>
      <c r="J2075" s="41">
        <v>4000</v>
      </c>
      <c r="K2075" s="42">
        <v>10.8</v>
      </c>
      <c r="L2075" s="43"/>
      <c r="M2075" s="43">
        <f>L2075*K2075</f>
        <v>0</v>
      </c>
      <c r="N2075" s="35">
        <v>4607149408528</v>
      </c>
    </row>
    <row r="2076" spans="1:14" ht="36" customHeight="1" outlineLevel="3" x14ac:dyDescent="0.2">
      <c r="A2076" s="36" t="s">
        <v>2567</v>
      </c>
      <c r="B2076" s="37" t="str">
        <f>HYPERLINK("http://www.sedek.ru/upload/iblock/689/p6sap67pfl8ifryhzchv1ggu8hapaor5/tomat_sakhar_ananasnyy.png","фото")</f>
        <v>фото</v>
      </c>
      <c r="C2076" s="38" t="s">
        <v>266</v>
      </c>
      <c r="D2076" s="38"/>
      <c r="E2076" s="39" t="s">
        <v>2568</v>
      </c>
      <c r="F2076" s="39" t="s">
        <v>2569</v>
      </c>
      <c r="G2076" s="44">
        <v>0.1</v>
      </c>
      <c r="H2076" s="39" t="s">
        <v>101</v>
      </c>
      <c r="I2076" s="39" t="s">
        <v>102</v>
      </c>
      <c r="J2076" s="41">
        <v>5000</v>
      </c>
      <c r="K2076" s="42">
        <v>43.9</v>
      </c>
      <c r="L2076" s="43"/>
      <c r="M2076" s="43">
        <f>L2076*K2076</f>
        <v>0</v>
      </c>
      <c r="N2076" s="35">
        <v>4690368041188</v>
      </c>
    </row>
    <row r="2077" spans="1:14" ht="36" customHeight="1" outlineLevel="3" x14ac:dyDescent="0.2">
      <c r="A2077" s="45">
        <v>16322</v>
      </c>
      <c r="B2077" s="37" t="str">
        <f>HYPERLINK("http://sedek.ru/upload/iblock/3e0/tomat_sakhar_belyy.jpg","фото")</f>
        <v>фото</v>
      </c>
      <c r="C2077" s="38"/>
      <c r="D2077" s="38" t="s">
        <v>266</v>
      </c>
      <c r="E2077" s="39" t="s">
        <v>2568</v>
      </c>
      <c r="F2077" s="39" t="s">
        <v>2570</v>
      </c>
      <c r="G2077" s="44">
        <v>0.1</v>
      </c>
      <c r="H2077" s="39" t="s">
        <v>101</v>
      </c>
      <c r="I2077" s="39" t="s">
        <v>102</v>
      </c>
      <c r="J2077" s="41">
        <v>4000</v>
      </c>
      <c r="K2077" s="42">
        <v>26.9</v>
      </c>
      <c r="L2077" s="43"/>
      <c r="M2077" s="43">
        <f>L2077*K2077</f>
        <v>0</v>
      </c>
      <c r="N2077" s="35">
        <v>4607149405152</v>
      </c>
    </row>
    <row r="2078" spans="1:14" ht="36" customHeight="1" outlineLevel="3" x14ac:dyDescent="0.2">
      <c r="A2078" s="36" t="s">
        <v>2571</v>
      </c>
      <c r="B2078" s="37" t="str">
        <f>HYPERLINK("http://sedek.ru/upload/iblock/f67/tomat_sakhar_buryy.jpg","фото")</f>
        <v>фото</v>
      </c>
      <c r="C2078" s="38" t="s">
        <v>266</v>
      </c>
      <c r="D2078" s="38" t="s">
        <v>266</v>
      </c>
      <c r="E2078" s="39" t="s">
        <v>2568</v>
      </c>
      <c r="F2078" s="39" t="s">
        <v>2572</v>
      </c>
      <c r="G2078" s="44">
        <v>0.1</v>
      </c>
      <c r="H2078" s="39" t="s">
        <v>101</v>
      </c>
      <c r="I2078" s="39" t="s">
        <v>102</v>
      </c>
      <c r="J2078" s="41">
        <v>3000</v>
      </c>
      <c r="K2078" s="42">
        <v>43.9</v>
      </c>
      <c r="L2078" s="43"/>
      <c r="M2078" s="43">
        <f>L2078*K2078</f>
        <v>0</v>
      </c>
      <c r="N2078" s="35">
        <v>4690368039550</v>
      </c>
    </row>
    <row r="2079" spans="1:14" ht="36" customHeight="1" outlineLevel="3" x14ac:dyDescent="0.2">
      <c r="A2079" s="36" t="s">
        <v>2573</v>
      </c>
      <c r="B2079" s="37" t="str">
        <f>HYPERLINK("http://sedek.ru/upload/iblock/f6b/tomat_sakhar_zheltyy.jpg","фото")</f>
        <v>фото</v>
      </c>
      <c r="C2079" s="38"/>
      <c r="D2079" s="38" t="s">
        <v>266</v>
      </c>
      <c r="E2079" s="39" t="s">
        <v>2568</v>
      </c>
      <c r="F2079" s="39" t="s">
        <v>2574</v>
      </c>
      <c r="G2079" s="54">
        <v>0.05</v>
      </c>
      <c r="H2079" s="39" t="s">
        <v>101</v>
      </c>
      <c r="I2079" s="39" t="s">
        <v>102</v>
      </c>
      <c r="J2079" s="41">
        <v>4000</v>
      </c>
      <c r="K2079" s="42">
        <v>26.7</v>
      </c>
      <c r="L2079" s="43"/>
      <c r="M2079" s="43">
        <f>L2079*K2079</f>
        <v>0</v>
      </c>
      <c r="N2079" s="35">
        <v>4690368030748</v>
      </c>
    </row>
    <row r="2080" spans="1:14" ht="36" customHeight="1" outlineLevel="3" x14ac:dyDescent="0.2">
      <c r="A2080" s="36" t="s">
        <v>2575</v>
      </c>
      <c r="B2080" s="37" t="str">
        <f>HYPERLINK("http://sedek.ru/upload/iblock/634/tomat_sakhar_zelenyy.jpg","фото")</f>
        <v>фото</v>
      </c>
      <c r="C2080" s="38"/>
      <c r="D2080" s="38" t="s">
        <v>266</v>
      </c>
      <c r="E2080" s="39" t="s">
        <v>2568</v>
      </c>
      <c r="F2080" s="39" t="s">
        <v>2576</v>
      </c>
      <c r="G2080" s="44">
        <v>0.1</v>
      </c>
      <c r="H2080" s="39" t="s">
        <v>101</v>
      </c>
      <c r="I2080" s="39" t="s">
        <v>102</v>
      </c>
      <c r="J2080" s="41">
        <v>4000</v>
      </c>
      <c r="K2080" s="42">
        <v>28.2</v>
      </c>
      <c r="L2080" s="43"/>
      <c r="M2080" s="43">
        <f>L2080*K2080</f>
        <v>0</v>
      </c>
      <c r="N2080" s="35">
        <v>4690368030731</v>
      </c>
    </row>
    <row r="2081" spans="1:14" ht="36" customHeight="1" outlineLevel="3" x14ac:dyDescent="0.2">
      <c r="A2081" s="45">
        <v>15399</v>
      </c>
      <c r="B2081" s="37" t="str">
        <f>HYPERLINK("http://sedek.ru/upload/iblock/2e3/tomat_sakhar_korichnevyy.jpg","фото")</f>
        <v>фото</v>
      </c>
      <c r="C2081" s="38"/>
      <c r="D2081" s="38"/>
      <c r="E2081" s="39" t="s">
        <v>2568</v>
      </c>
      <c r="F2081" s="39" t="s">
        <v>2577</v>
      </c>
      <c r="G2081" s="44">
        <v>0.1</v>
      </c>
      <c r="H2081" s="39" t="s">
        <v>101</v>
      </c>
      <c r="I2081" s="39" t="s">
        <v>102</v>
      </c>
      <c r="J2081" s="41">
        <v>4000</v>
      </c>
      <c r="K2081" s="42">
        <v>38.5</v>
      </c>
      <c r="L2081" s="43"/>
      <c r="M2081" s="43">
        <f>L2081*K2081</f>
        <v>0</v>
      </c>
      <c r="N2081" s="35">
        <v>4607149405145</v>
      </c>
    </row>
    <row r="2082" spans="1:14" ht="24" customHeight="1" outlineLevel="3" x14ac:dyDescent="0.2">
      <c r="A2082" s="45">
        <v>13728</v>
      </c>
      <c r="B2082" s="37" t="str">
        <f>HYPERLINK("http://sedek.ru/upload/iblock/d8d/tomat_sakhar_krasnyy.jpg","фото")</f>
        <v>фото</v>
      </c>
      <c r="C2082" s="38"/>
      <c r="D2082" s="38"/>
      <c r="E2082" s="39" t="s">
        <v>2568</v>
      </c>
      <c r="F2082" s="39" t="s">
        <v>2578</v>
      </c>
      <c r="G2082" s="44">
        <v>0.1</v>
      </c>
      <c r="H2082" s="39" t="s">
        <v>101</v>
      </c>
      <c r="I2082" s="39" t="s">
        <v>102</v>
      </c>
      <c r="J2082" s="41">
        <v>4000</v>
      </c>
      <c r="K2082" s="42">
        <v>26.7</v>
      </c>
      <c r="L2082" s="43"/>
      <c r="M2082" s="43">
        <f>L2082*K2082</f>
        <v>0</v>
      </c>
      <c r="N2082" s="35">
        <v>4607149409082</v>
      </c>
    </row>
    <row r="2083" spans="1:14" ht="36" customHeight="1" outlineLevel="3" x14ac:dyDescent="0.2">
      <c r="A2083" s="45">
        <v>16996</v>
      </c>
      <c r="B2083" s="37" t="str">
        <f>HYPERLINK("http://sedek.ru/upload/iblock/745/tomat_sakhar_malinovyy.jpg","фото")</f>
        <v>фото</v>
      </c>
      <c r="C2083" s="38"/>
      <c r="D2083" s="38"/>
      <c r="E2083" s="39" t="s">
        <v>2568</v>
      </c>
      <c r="F2083" s="39" t="s">
        <v>2579</v>
      </c>
      <c r="G2083" s="44">
        <v>0.1</v>
      </c>
      <c r="H2083" s="39" t="s">
        <v>101</v>
      </c>
      <c r="I2083" s="39" t="s">
        <v>102</v>
      </c>
      <c r="J2083" s="41">
        <v>4000</v>
      </c>
      <c r="K2083" s="42">
        <v>30</v>
      </c>
      <c r="L2083" s="43"/>
      <c r="M2083" s="43">
        <f>L2083*K2083</f>
        <v>0</v>
      </c>
      <c r="N2083" s="35">
        <v>4690368013048</v>
      </c>
    </row>
    <row r="2084" spans="1:14" ht="36" customHeight="1" outlineLevel="3" x14ac:dyDescent="0.2">
      <c r="A2084" s="36" t="s">
        <v>2580</v>
      </c>
      <c r="B2084" s="37" t="str">
        <f>HYPERLINK("http://sedek.ru/upload/iblock/918/tomat_sakhar_oranzhevyy.jpg","фото")</f>
        <v>фото</v>
      </c>
      <c r="C2084" s="38"/>
      <c r="D2084" s="38" t="s">
        <v>266</v>
      </c>
      <c r="E2084" s="39" t="s">
        <v>2568</v>
      </c>
      <c r="F2084" s="39" t="s">
        <v>2581</v>
      </c>
      <c r="G2084" s="44">
        <v>0.1</v>
      </c>
      <c r="H2084" s="39" t="s">
        <v>101</v>
      </c>
      <c r="I2084" s="39" t="s">
        <v>102</v>
      </c>
      <c r="J2084" s="41">
        <v>4000</v>
      </c>
      <c r="K2084" s="42">
        <v>28.2</v>
      </c>
      <c r="L2084" s="43"/>
      <c r="M2084" s="43">
        <f>L2084*K2084</f>
        <v>0</v>
      </c>
      <c r="N2084" s="35">
        <v>4690368030755</v>
      </c>
    </row>
    <row r="2085" spans="1:14" ht="36" customHeight="1" outlineLevel="3" x14ac:dyDescent="0.2">
      <c r="A2085" s="45">
        <v>16047</v>
      </c>
      <c r="B2085" s="37" t="str">
        <f>HYPERLINK("http://sedek.ru/upload/iblock/607/tomat_sakhar_rozovyy.JPG","фото")</f>
        <v>фото</v>
      </c>
      <c r="C2085" s="38"/>
      <c r="D2085" s="38"/>
      <c r="E2085" s="39" t="s">
        <v>2568</v>
      </c>
      <c r="F2085" s="39" t="s">
        <v>2582</v>
      </c>
      <c r="G2085" s="44">
        <v>0.1</v>
      </c>
      <c r="H2085" s="39" t="s">
        <v>101</v>
      </c>
      <c r="I2085" s="39" t="s">
        <v>102</v>
      </c>
      <c r="J2085" s="41">
        <v>4000</v>
      </c>
      <c r="K2085" s="42">
        <v>26.7</v>
      </c>
      <c r="L2085" s="43"/>
      <c r="M2085" s="43">
        <f>L2085*K2085</f>
        <v>0</v>
      </c>
      <c r="N2085" s="35">
        <v>4607149409099</v>
      </c>
    </row>
    <row r="2086" spans="1:14" ht="36" customHeight="1" outlineLevel="3" x14ac:dyDescent="0.2">
      <c r="A2086" s="36" t="s">
        <v>2583</v>
      </c>
      <c r="B2086" s="37" t="str">
        <f>HYPERLINK("http://sedek.ru/upload/iblock/aba/tomat_sakhar_chernyy.jpg","фото")</f>
        <v>фото</v>
      </c>
      <c r="C2086" s="38" t="s">
        <v>266</v>
      </c>
      <c r="D2086" s="38"/>
      <c r="E2086" s="39" t="s">
        <v>2568</v>
      </c>
      <c r="F2086" s="39" t="s">
        <v>2584</v>
      </c>
      <c r="G2086" s="44">
        <v>0.1</v>
      </c>
      <c r="H2086" s="39" t="s">
        <v>101</v>
      </c>
      <c r="I2086" s="39" t="s">
        <v>102</v>
      </c>
      <c r="J2086" s="41">
        <v>3000</v>
      </c>
      <c r="K2086" s="42">
        <v>43.9</v>
      </c>
      <c r="L2086" s="43"/>
      <c r="M2086" s="43">
        <f>L2086*K2086</f>
        <v>0</v>
      </c>
      <c r="N2086" s="35">
        <v>4690368030762</v>
      </c>
    </row>
    <row r="2087" spans="1:14" ht="36" customHeight="1" outlineLevel="3" x14ac:dyDescent="0.2">
      <c r="A2087" s="45">
        <v>15726</v>
      </c>
      <c r="B2087" s="37" t="str">
        <f>HYPERLINK("http://sedek.ru/upload/iblock/1fd/tomat_sakharnaya_sliva_zheltaya.JPG","фото")</f>
        <v>фото</v>
      </c>
      <c r="C2087" s="38"/>
      <c r="D2087" s="38" t="s">
        <v>266</v>
      </c>
      <c r="E2087" s="39"/>
      <c r="F2087" s="39" t="s">
        <v>2585</v>
      </c>
      <c r="G2087" s="44">
        <v>0.2</v>
      </c>
      <c r="H2087" s="39" t="s">
        <v>101</v>
      </c>
      <c r="I2087" s="39" t="s">
        <v>102</v>
      </c>
      <c r="J2087" s="41">
        <v>3000</v>
      </c>
      <c r="K2087" s="42">
        <v>19.5</v>
      </c>
      <c r="L2087" s="43"/>
      <c r="M2087" s="43">
        <f>L2087*K2087</f>
        <v>0</v>
      </c>
      <c r="N2087" s="35">
        <v>4607116261439</v>
      </c>
    </row>
    <row r="2088" spans="1:14" ht="36" customHeight="1" outlineLevel="3" x14ac:dyDescent="0.2">
      <c r="A2088" s="45">
        <v>13720</v>
      </c>
      <c r="B2088" s="37" t="str">
        <f>HYPERLINK("http://sedek.ru/upload/iblock/807/tomat_sakharnaya_sliva_krasnaya.jpg","фото")</f>
        <v>фото</v>
      </c>
      <c r="C2088" s="38"/>
      <c r="D2088" s="38"/>
      <c r="E2088" s="39"/>
      <c r="F2088" s="39" t="s">
        <v>2586</v>
      </c>
      <c r="G2088" s="44">
        <v>0.2</v>
      </c>
      <c r="H2088" s="39" t="s">
        <v>101</v>
      </c>
      <c r="I2088" s="39" t="s">
        <v>102</v>
      </c>
      <c r="J2088" s="41">
        <v>3000</v>
      </c>
      <c r="K2088" s="42">
        <v>19.5</v>
      </c>
      <c r="L2088" s="43"/>
      <c r="M2088" s="43">
        <f>L2088*K2088</f>
        <v>0</v>
      </c>
      <c r="N2088" s="35">
        <v>4607116261446</v>
      </c>
    </row>
    <row r="2089" spans="1:14" ht="36" customHeight="1" outlineLevel="3" x14ac:dyDescent="0.2">
      <c r="A2089" s="45">
        <v>13720</v>
      </c>
      <c r="B2089" s="37" t="str">
        <f>HYPERLINK("http://sedek.ru/upload/iblock/807/tomat_sakharnaya_sliva_krasnaya.jpg","фото")</f>
        <v>фото</v>
      </c>
      <c r="C2089" s="38"/>
      <c r="D2089" s="38"/>
      <c r="E2089" s="39"/>
      <c r="F2089" s="39" t="s">
        <v>2587</v>
      </c>
      <c r="G2089" s="44">
        <v>0.2</v>
      </c>
      <c r="H2089" s="39" t="s">
        <v>101</v>
      </c>
      <c r="I2089" s="39" t="s">
        <v>287</v>
      </c>
      <c r="J2089" s="41">
        <v>3000</v>
      </c>
      <c r="K2089" s="42">
        <v>8</v>
      </c>
      <c r="L2089" s="43"/>
      <c r="M2089" s="43">
        <f>L2089*K2089</f>
        <v>0</v>
      </c>
      <c r="N2089" s="35">
        <v>4607149409815</v>
      </c>
    </row>
    <row r="2090" spans="1:14" ht="36" customHeight="1" outlineLevel="3" x14ac:dyDescent="0.2">
      <c r="A2090" s="45">
        <v>15105</v>
      </c>
      <c r="B2090" s="37" t="str">
        <f>HYPERLINK("http://sedek.ru/upload/iblock/66d/tomat_sakharnaya_sliva_malinovaya.jpg","фото")</f>
        <v>фото</v>
      </c>
      <c r="C2090" s="38"/>
      <c r="D2090" s="38"/>
      <c r="E2090" s="39"/>
      <c r="F2090" s="39" t="s">
        <v>2588</v>
      </c>
      <c r="G2090" s="44">
        <v>0.2</v>
      </c>
      <c r="H2090" s="39" t="s">
        <v>101</v>
      </c>
      <c r="I2090" s="39" t="s">
        <v>102</v>
      </c>
      <c r="J2090" s="41">
        <v>3000</v>
      </c>
      <c r="K2090" s="42">
        <v>19.5</v>
      </c>
      <c r="L2090" s="43"/>
      <c r="M2090" s="43">
        <f>L2090*K2090</f>
        <v>0</v>
      </c>
      <c r="N2090" s="35">
        <v>4607116261453</v>
      </c>
    </row>
    <row r="2091" spans="1:14" ht="36" customHeight="1" outlineLevel="3" x14ac:dyDescent="0.2">
      <c r="A2091" s="36" t="s">
        <v>2589</v>
      </c>
      <c r="B2091" s="37" t="str">
        <f>HYPERLINK("http://sedek.ru/upload/iblock/7b1/tomat_sakharnyy_bizon.jpg","фото")</f>
        <v>фото</v>
      </c>
      <c r="C2091" s="38"/>
      <c r="D2091" s="38" t="s">
        <v>266</v>
      </c>
      <c r="E2091" s="39"/>
      <c r="F2091" s="39" t="s">
        <v>2590</v>
      </c>
      <c r="G2091" s="44">
        <v>0.1</v>
      </c>
      <c r="H2091" s="39" t="s">
        <v>101</v>
      </c>
      <c r="I2091" s="39" t="s">
        <v>102</v>
      </c>
      <c r="J2091" s="41">
        <v>4000</v>
      </c>
      <c r="K2091" s="42">
        <v>20.6</v>
      </c>
      <c r="L2091" s="43"/>
      <c r="M2091" s="43">
        <f>L2091*K2091</f>
        <v>0</v>
      </c>
      <c r="N2091" s="35">
        <v>4690368026529</v>
      </c>
    </row>
    <row r="2092" spans="1:14" ht="36" customHeight="1" outlineLevel="3" x14ac:dyDescent="0.2">
      <c r="A2092" s="45">
        <v>16140</v>
      </c>
      <c r="B2092" s="37" t="str">
        <f>HYPERLINK("http://sedek.ru/upload/iblock/9eb/tomat_sakharnyy_malysh.jpg","фото")</f>
        <v>фото</v>
      </c>
      <c r="C2092" s="38"/>
      <c r="D2092" s="38"/>
      <c r="E2092" s="39"/>
      <c r="F2092" s="39" t="s">
        <v>2591</v>
      </c>
      <c r="G2092" s="54">
        <v>0.05</v>
      </c>
      <c r="H2092" s="39" t="s">
        <v>101</v>
      </c>
      <c r="I2092" s="39" t="s">
        <v>102</v>
      </c>
      <c r="J2092" s="41">
        <v>5000</v>
      </c>
      <c r="K2092" s="42">
        <v>33.799999999999997</v>
      </c>
      <c r="L2092" s="43"/>
      <c r="M2092" s="43">
        <f>L2092*K2092</f>
        <v>0</v>
      </c>
      <c r="N2092" s="35">
        <v>4607149405176</v>
      </c>
    </row>
    <row r="2093" spans="1:14" ht="36" customHeight="1" outlineLevel="3" x14ac:dyDescent="0.2">
      <c r="A2093" s="45">
        <v>15353</v>
      </c>
      <c r="B2093" s="37" t="str">
        <f>HYPERLINK("http://www.sedek.ru/upload/iblock/db2/tomat_sashenka_f1.jpg","фото")</f>
        <v>фото</v>
      </c>
      <c r="C2093" s="38"/>
      <c r="D2093" s="38" t="s">
        <v>266</v>
      </c>
      <c r="E2093" s="39"/>
      <c r="F2093" s="39" t="s">
        <v>2592</v>
      </c>
      <c r="G2093" s="54">
        <v>0.05</v>
      </c>
      <c r="H2093" s="39" t="s">
        <v>101</v>
      </c>
      <c r="I2093" s="39" t="s">
        <v>102</v>
      </c>
      <c r="J2093" s="41">
        <v>5000</v>
      </c>
      <c r="K2093" s="42">
        <v>28.9</v>
      </c>
      <c r="L2093" s="43"/>
      <c r="M2093" s="43">
        <f>L2093*K2093</f>
        <v>0</v>
      </c>
      <c r="N2093" s="35">
        <v>4690368028714</v>
      </c>
    </row>
    <row r="2094" spans="1:14" ht="24" customHeight="1" outlineLevel="3" x14ac:dyDescent="0.2">
      <c r="A2094" s="36" t="s">
        <v>2593</v>
      </c>
      <c r="B2094" s="37" t="str">
        <f>HYPERLINK("http://www.sedek.ru/upload/iblock/b55/tomat_svekrov_f1.jpg","фото")</f>
        <v>фото</v>
      </c>
      <c r="C2094" s="38"/>
      <c r="D2094" s="38"/>
      <c r="E2094" s="39"/>
      <c r="F2094" s="39" t="s">
        <v>2594</v>
      </c>
      <c r="G2094" s="54">
        <v>0.03</v>
      </c>
      <c r="H2094" s="39" t="s">
        <v>101</v>
      </c>
      <c r="I2094" s="39" t="s">
        <v>102</v>
      </c>
      <c r="J2094" s="41">
        <v>5000</v>
      </c>
      <c r="K2094" s="42">
        <v>44.5</v>
      </c>
      <c r="L2094" s="43"/>
      <c r="M2094" s="43">
        <f>L2094*K2094</f>
        <v>0</v>
      </c>
      <c r="N2094" s="35">
        <v>4690368008204</v>
      </c>
    </row>
    <row r="2095" spans="1:14" ht="36" customHeight="1" outlineLevel="3" x14ac:dyDescent="0.2">
      <c r="A2095" s="45">
        <v>13947</v>
      </c>
      <c r="B2095" s="37" t="str">
        <f>HYPERLINK("http://sedek.ru/upload/iblock/257/tomat_svit_cherri_f1.jpg","фото")</f>
        <v>фото</v>
      </c>
      <c r="C2095" s="38"/>
      <c r="D2095" s="38" t="s">
        <v>266</v>
      </c>
      <c r="E2095" s="39"/>
      <c r="F2095" s="39" t="s">
        <v>2595</v>
      </c>
      <c r="G2095" s="54">
        <v>0.05</v>
      </c>
      <c r="H2095" s="39" t="s">
        <v>101</v>
      </c>
      <c r="I2095" s="39" t="s">
        <v>102</v>
      </c>
      <c r="J2095" s="41">
        <v>5000</v>
      </c>
      <c r="K2095" s="42">
        <v>30.2</v>
      </c>
      <c r="L2095" s="43"/>
      <c r="M2095" s="43">
        <f>L2095*K2095</f>
        <v>0</v>
      </c>
      <c r="N2095" s="35">
        <v>4607116261460</v>
      </c>
    </row>
    <row r="2096" spans="1:14" ht="36" customHeight="1" outlineLevel="3" x14ac:dyDescent="0.2">
      <c r="A2096" s="45">
        <v>16046</v>
      </c>
      <c r="B2096" s="37" t="str">
        <f>HYPERLINK("http://sedek.ru/upload/iblock/a1b/tomat_severnaya_malyutka.jpg","фото")</f>
        <v>фото</v>
      </c>
      <c r="C2096" s="38"/>
      <c r="D2096" s="38"/>
      <c r="E2096" s="39"/>
      <c r="F2096" s="39" t="s">
        <v>2596</v>
      </c>
      <c r="G2096" s="44">
        <v>0.1</v>
      </c>
      <c r="H2096" s="39" t="s">
        <v>101</v>
      </c>
      <c r="I2096" s="39" t="s">
        <v>102</v>
      </c>
      <c r="J2096" s="41">
        <v>4000</v>
      </c>
      <c r="K2096" s="42">
        <v>19.5</v>
      </c>
      <c r="L2096" s="43"/>
      <c r="M2096" s="43">
        <f>L2096*K2096</f>
        <v>0</v>
      </c>
      <c r="N2096" s="35">
        <v>4607116261477</v>
      </c>
    </row>
    <row r="2097" spans="1:14" ht="36" customHeight="1" outlineLevel="3" x14ac:dyDescent="0.2">
      <c r="A2097" s="45">
        <v>15607</v>
      </c>
      <c r="B2097" s="37" t="str">
        <f>HYPERLINK("http://sedek.ru/upload/iblock/056/tomat_severyanin.JPG","фото")</f>
        <v>фото</v>
      </c>
      <c r="C2097" s="38"/>
      <c r="D2097" s="38"/>
      <c r="E2097" s="39" t="s">
        <v>2090</v>
      </c>
      <c r="F2097" s="39" t="s">
        <v>2597</v>
      </c>
      <c r="G2097" s="44">
        <v>0.1</v>
      </c>
      <c r="H2097" s="39" t="s">
        <v>101</v>
      </c>
      <c r="I2097" s="39" t="s">
        <v>102</v>
      </c>
      <c r="J2097" s="41">
        <v>4000</v>
      </c>
      <c r="K2097" s="42">
        <v>20.5</v>
      </c>
      <c r="L2097" s="43"/>
      <c r="M2097" s="43">
        <f>L2097*K2097</f>
        <v>0</v>
      </c>
      <c r="N2097" s="35">
        <v>4690368007580</v>
      </c>
    </row>
    <row r="2098" spans="1:14" ht="36" customHeight="1" outlineLevel="3" x14ac:dyDescent="0.2">
      <c r="A2098" s="45">
        <v>14166</v>
      </c>
      <c r="B2098" s="37" t="str">
        <f>HYPERLINK("http://sedek.ru/upload/iblock/bb5/tomat_sem_sorok_f1.jpg","фото")</f>
        <v>фото</v>
      </c>
      <c r="C2098" s="38"/>
      <c r="D2098" s="38"/>
      <c r="E2098" s="39"/>
      <c r="F2098" s="39" t="s">
        <v>2598</v>
      </c>
      <c r="G2098" s="54">
        <v>0.05</v>
      </c>
      <c r="H2098" s="39" t="s">
        <v>101</v>
      </c>
      <c r="I2098" s="39" t="s">
        <v>102</v>
      </c>
      <c r="J2098" s="41">
        <v>5000</v>
      </c>
      <c r="K2098" s="42">
        <v>35.4</v>
      </c>
      <c r="L2098" s="43"/>
      <c r="M2098" s="43">
        <f>L2098*K2098</f>
        <v>0</v>
      </c>
      <c r="N2098" s="35">
        <v>4690368015240</v>
      </c>
    </row>
    <row r="2099" spans="1:14" ht="24" customHeight="1" outlineLevel="3" x14ac:dyDescent="0.2">
      <c r="A2099" s="45">
        <v>14040</v>
      </c>
      <c r="B2099" s="37" t="str">
        <f>HYPERLINK("http://sedek.ru/upload/iblock/c0a/tomat_senator_f1.jpg","фото")</f>
        <v>фото</v>
      </c>
      <c r="C2099" s="38"/>
      <c r="D2099" s="38"/>
      <c r="E2099" s="39"/>
      <c r="F2099" s="39" t="s">
        <v>2599</v>
      </c>
      <c r="G2099" s="54">
        <v>0.05</v>
      </c>
      <c r="H2099" s="39" t="s">
        <v>101</v>
      </c>
      <c r="I2099" s="39" t="s">
        <v>102</v>
      </c>
      <c r="J2099" s="41">
        <v>5000</v>
      </c>
      <c r="K2099" s="42">
        <v>37.299999999999997</v>
      </c>
      <c r="L2099" s="43"/>
      <c r="M2099" s="43">
        <f>L2099*K2099</f>
        <v>0</v>
      </c>
      <c r="N2099" s="35">
        <v>4690368008211</v>
      </c>
    </row>
    <row r="2100" spans="1:14" ht="24" customHeight="1" outlineLevel="3" x14ac:dyDescent="0.2">
      <c r="A2100" s="45">
        <v>14419</v>
      </c>
      <c r="B2100" s="37" t="str">
        <f>HYPERLINK("http://sedek.ru/upload/iblock/aa9/tomat_sergey_f1.jpg","фото")</f>
        <v>фото</v>
      </c>
      <c r="C2100" s="38"/>
      <c r="D2100" s="38"/>
      <c r="E2100" s="39"/>
      <c r="F2100" s="39" t="s">
        <v>2600</v>
      </c>
      <c r="G2100" s="54">
        <v>0.05</v>
      </c>
      <c r="H2100" s="39" t="s">
        <v>101</v>
      </c>
      <c r="I2100" s="39" t="s">
        <v>102</v>
      </c>
      <c r="J2100" s="41">
        <v>5000</v>
      </c>
      <c r="K2100" s="42">
        <v>30.9</v>
      </c>
      <c r="L2100" s="43"/>
      <c r="M2100" s="43">
        <f>L2100*K2100</f>
        <v>0</v>
      </c>
      <c r="N2100" s="35">
        <v>4690368014663</v>
      </c>
    </row>
    <row r="2101" spans="1:14" ht="24" customHeight="1" outlineLevel="3" x14ac:dyDescent="0.2">
      <c r="A2101" s="45">
        <v>14145</v>
      </c>
      <c r="B2101" s="37" t="str">
        <f>HYPERLINK("http://sedek.ru/upload/iblock/ce4/tomat_serdtsevidnyy_konservnyy.jpg","фото")</f>
        <v>фото</v>
      </c>
      <c r="C2101" s="38"/>
      <c r="D2101" s="38"/>
      <c r="E2101" s="39"/>
      <c r="F2101" s="39" t="s">
        <v>2601</v>
      </c>
      <c r="G2101" s="44">
        <v>0.1</v>
      </c>
      <c r="H2101" s="39" t="s">
        <v>101</v>
      </c>
      <c r="I2101" s="39" t="s">
        <v>102</v>
      </c>
      <c r="J2101" s="41">
        <v>4000</v>
      </c>
      <c r="K2101" s="42">
        <v>19.8</v>
      </c>
      <c r="L2101" s="43"/>
      <c r="M2101" s="43">
        <f>L2101*K2101</f>
        <v>0</v>
      </c>
      <c r="N2101" s="35">
        <v>4607116267554</v>
      </c>
    </row>
    <row r="2102" spans="1:14" ht="24" customHeight="1" outlineLevel="3" x14ac:dyDescent="0.2">
      <c r="A2102" s="45">
        <v>14145</v>
      </c>
      <c r="B2102" s="37" t="str">
        <f>HYPERLINK("http://sedek.ru/upload/iblock/ce4/tomat_serdtsevidnyy_konservnyy.jpg","фото")</f>
        <v>фото</v>
      </c>
      <c r="C2102" s="38"/>
      <c r="D2102" s="38"/>
      <c r="E2102" s="39"/>
      <c r="F2102" s="39" t="s">
        <v>2602</v>
      </c>
      <c r="G2102" s="44">
        <v>0.1</v>
      </c>
      <c r="H2102" s="39" t="s">
        <v>101</v>
      </c>
      <c r="I2102" s="39" t="s">
        <v>287</v>
      </c>
      <c r="J2102" s="41">
        <v>4000</v>
      </c>
      <c r="K2102" s="42">
        <v>9.4</v>
      </c>
      <c r="L2102" s="43"/>
      <c r="M2102" s="43">
        <f>L2102*K2102</f>
        <v>0</v>
      </c>
      <c r="N2102" s="35">
        <v>4607149407590</v>
      </c>
    </row>
    <row r="2103" spans="1:14" ht="36" customHeight="1" outlineLevel="3" x14ac:dyDescent="0.2">
      <c r="A2103" s="45">
        <v>15435</v>
      </c>
      <c r="B2103" s="37" t="str">
        <f>HYPERLINK("http://sedek.ru/upload/iblock/02d/tomat_sestra_f1.jpg","фото")</f>
        <v>фото</v>
      </c>
      <c r="C2103" s="38"/>
      <c r="D2103" s="38"/>
      <c r="E2103" s="39"/>
      <c r="F2103" s="39" t="s">
        <v>2603</v>
      </c>
      <c r="G2103" s="54">
        <v>0.05</v>
      </c>
      <c r="H2103" s="39" t="s">
        <v>101</v>
      </c>
      <c r="I2103" s="39" t="s">
        <v>102</v>
      </c>
      <c r="J2103" s="41">
        <v>5000</v>
      </c>
      <c r="K2103" s="42">
        <v>35.4</v>
      </c>
      <c r="L2103" s="43"/>
      <c r="M2103" s="43">
        <f>L2103*K2103</f>
        <v>0</v>
      </c>
      <c r="N2103" s="35">
        <v>4607015185591</v>
      </c>
    </row>
    <row r="2104" spans="1:14" ht="36" customHeight="1" outlineLevel="3" x14ac:dyDescent="0.2">
      <c r="A2104" s="45">
        <v>15868</v>
      </c>
      <c r="B2104" s="37" t="str">
        <f>HYPERLINK("http://sedek.ru/upload/iblock/e04/tomat_sestrenka_f1.jpg","фото")</f>
        <v>фото</v>
      </c>
      <c r="C2104" s="38"/>
      <c r="D2104" s="38"/>
      <c r="E2104" s="39"/>
      <c r="F2104" s="39" t="s">
        <v>2604</v>
      </c>
      <c r="G2104" s="54">
        <v>0.05</v>
      </c>
      <c r="H2104" s="39" t="s">
        <v>101</v>
      </c>
      <c r="I2104" s="39" t="s">
        <v>102</v>
      </c>
      <c r="J2104" s="41">
        <v>5000</v>
      </c>
      <c r="K2104" s="42">
        <v>37.299999999999997</v>
      </c>
      <c r="L2104" s="43"/>
      <c r="M2104" s="43">
        <f>L2104*K2104</f>
        <v>0</v>
      </c>
      <c r="N2104" s="35">
        <v>4690368008143</v>
      </c>
    </row>
    <row r="2105" spans="1:14" ht="36" customHeight="1" outlineLevel="3" x14ac:dyDescent="0.2">
      <c r="A2105" s="45">
        <v>15402</v>
      </c>
      <c r="B2105" s="37" t="str">
        <f>HYPERLINK("http://sedek.ru/upload/iblock/9c2/tomat_sibirskiy_skorospelyy.jpg","фото")</f>
        <v>фото</v>
      </c>
      <c r="C2105" s="38"/>
      <c r="D2105" s="38"/>
      <c r="E2105" s="39"/>
      <c r="F2105" s="39" t="s">
        <v>2605</v>
      </c>
      <c r="G2105" s="44">
        <v>0.1</v>
      </c>
      <c r="H2105" s="39" t="s">
        <v>101</v>
      </c>
      <c r="I2105" s="39" t="s">
        <v>102</v>
      </c>
      <c r="J2105" s="41">
        <v>4000</v>
      </c>
      <c r="K2105" s="42">
        <v>18.8</v>
      </c>
      <c r="L2105" s="43"/>
      <c r="M2105" s="43">
        <f>L2105*K2105</f>
        <v>0</v>
      </c>
      <c r="N2105" s="35">
        <v>4607116261484</v>
      </c>
    </row>
    <row r="2106" spans="1:14" ht="36" customHeight="1" outlineLevel="3" x14ac:dyDescent="0.2">
      <c r="A2106" s="36" t="s">
        <v>2606</v>
      </c>
      <c r="B2106" s="37" t="str">
        <f>HYPERLINK("http://www.sedek.ru/upload/iblock/cf7/fnozx3mp1hsmv39wm4d72ra7jboyiela/tomat_skorospelka_malinovaya.png","фото")</f>
        <v>фото</v>
      </c>
      <c r="C2106" s="38" t="s">
        <v>266</v>
      </c>
      <c r="D2106" s="38"/>
      <c r="E2106" s="39"/>
      <c r="F2106" s="39" t="s">
        <v>2607</v>
      </c>
      <c r="G2106" s="44">
        <v>0.1</v>
      </c>
      <c r="H2106" s="39"/>
      <c r="I2106" s="39" t="s">
        <v>102</v>
      </c>
      <c r="J2106" s="41">
        <v>3000</v>
      </c>
      <c r="K2106" s="42">
        <v>20</v>
      </c>
      <c r="L2106" s="43"/>
      <c r="M2106" s="43">
        <f>L2106*K2106</f>
        <v>0</v>
      </c>
      <c r="N2106" s="35">
        <v>4690368037983</v>
      </c>
    </row>
    <row r="2107" spans="1:14" ht="24" customHeight="1" outlineLevel="3" x14ac:dyDescent="0.2">
      <c r="A2107" s="45">
        <v>13833</v>
      </c>
      <c r="B2107" s="37" t="str">
        <f>HYPERLINK("http://sedek.ru/upload/iblock/420/tomat_skorospelka.jpg","фото")</f>
        <v>фото</v>
      </c>
      <c r="C2107" s="38"/>
      <c r="D2107" s="38"/>
      <c r="E2107" s="39" t="s">
        <v>2090</v>
      </c>
      <c r="F2107" s="39" t="s">
        <v>2608</v>
      </c>
      <c r="G2107" s="44">
        <v>0.2</v>
      </c>
      <c r="H2107" s="39" t="s">
        <v>101</v>
      </c>
      <c r="I2107" s="39" t="s">
        <v>102</v>
      </c>
      <c r="J2107" s="41">
        <v>3000</v>
      </c>
      <c r="K2107" s="42">
        <v>19.5</v>
      </c>
      <c r="L2107" s="43"/>
      <c r="M2107" s="43">
        <f>L2107*K2107</f>
        <v>0</v>
      </c>
      <c r="N2107" s="35">
        <v>4607116261507</v>
      </c>
    </row>
    <row r="2108" spans="1:14" ht="36" customHeight="1" outlineLevel="3" x14ac:dyDescent="0.2">
      <c r="A2108" s="45">
        <v>16538</v>
      </c>
      <c r="B2108" s="37" t="str">
        <f>HYPERLINK("http://sedek.ru/upload/iblock/815/tomat_skorospelyy_amurskiy.jpg","фото")</f>
        <v>фото</v>
      </c>
      <c r="C2108" s="38"/>
      <c r="D2108" s="38" t="s">
        <v>266</v>
      </c>
      <c r="E2108" s="39" t="s">
        <v>2090</v>
      </c>
      <c r="F2108" s="39" t="s">
        <v>2609</v>
      </c>
      <c r="G2108" s="44">
        <v>0.1</v>
      </c>
      <c r="H2108" s="39" t="s">
        <v>101</v>
      </c>
      <c r="I2108" s="39" t="s">
        <v>102</v>
      </c>
      <c r="J2108" s="41">
        <v>4000</v>
      </c>
      <c r="K2108" s="42">
        <v>19.5</v>
      </c>
      <c r="L2108" s="43"/>
      <c r="M2108" s="43">
        <f>L2108*K2108</f>
        <v>0</v>
      </c>
      <c r="N2108" s="35">
        <v>4607149405053</v>
      </c>
    </row>
    <row r="2109" spans="1:14" ht="36" customHeight="1" outlineLevel="3" x14ac:dyDescent="0.2">
      <c r="A2109" s="36" t="s">
        <v>2610</v>
      </c>
      <c r="B2109" s="37" t="str">
        <f>HYPERLINK("http://sedek.ru/upload/iblock/bf8/tomat_sladkaya_grozd.jpg","фото")</f>
        <v>фото</v>
      </c>
      <c r="C2109" s="38"/>
      <c r="D2109" s="38"/>
      <c r="E2109" s="39" t="s">
        <v>2173</v>
      </c>
      <c r="F2109" s="39" t="s">
        <v>2611</v>
      </c>
      <c r="G2109" s="44">
        <v>0.1</v>
      </c>
      <c r="H2109" s="39" t="s">
        <v>101</v>
      </c>
      <c r="I2109" s="39" t="s">
        <v>102</v>
      </c>
      <c r="J2109" s="41">
        <v>4000</v>
      </c>
      <c r="K2109" s="42">
        <v>25.3</v>
      </c>
      <c r="L2109" s="43"/>
      <c r="M2109" s="43">
        <f>L2109*K2109</f>
        <v>0</v>
      </c>
      <c r="N2109" s="35">
        <v>4607116261514</v>
      </c>
    </row>
    <row r="2110" spans="1:14" ht="36" customHeight="1" outlineLevel="3" x14ac:dyDescent="0.2">
      <c r="A2110" s="45">
        <v>17000</v>
      </c>
      <c r="B2110" s="37" t="str">
        <f>HYPERLINK("http://sedek.ru/upload/iblock/698/tomat_sladkaya_grozd_zolotaya.jpg","фото")</f>
        <v>фото</v>
      </c>
      <c r="C2110" s="38"/>
      <c r="D2110" s="38"/>
      <c r="E2110" s="39"/>
      <c r="F2110" s="39" t="s">
        <v>2612</v>
      </c>
      <c r="G2110" s="44">
        <v>0.1</v>
      </c>
      <c r="H2110" s="39" t="s">
        <v>101</v>
      </c>
      <c r="I2110" s="39" t="s">
        <v>102</v>
      </c>
      <c r="J2110" s="41">
        <v>4000</v>
      </c>
      <c r="K2110" s="42">
        <v>20.5</v>
      </c>
      <c r="L2110" s="43"/>
      <c r="M2110" s="43">
        <f>L2110*K2110</f>
        <v>0</v>
      </c>
      <c r="N2110" s="35">
        <v>4690368022330</v>
      </c>
    </row>
    <row r="2111" spans="1:14" ht="36" customHeight="1" outlineLevel="3" x14ac:dyDescent="0.2">
      <c r="A2111" s="45">
        <v>13695</v>
      </c>
      <c r="B2111" s="37" t="str">
        <f>HYPERLINK("http://sedek.ru/upload/iblock/f16/tomat_sladkaya_grozd_shokoladnaya.jpg","фото")</f>
        <v>фото</v>
      </c>
      <c r="C2111" s="38"/>
      <c r="D2111" s="38"/>
      <c r="E2111" s="39" t="s">
        <v>2093</v>
      </c>
      <c r="F2111" s="39" t="s">
        <v>2613</v>
      </c>
      <c r="G2111" s="44">
        <v>0.1</v>
      </c>
      <c r="H2111" s="39" t="s">
        <v>101</v>
      </c>
      <c r="I2111" s="39" t="s">
        <v>102</v>
      </c>
      <c r="J2111" s="41">
        <v>4000</v>
      </c>
      <c r="K2111" s="42">
        <v>19.5</v>
      </c>
      <c r="L2111" s="43"/>
      <c r="M2111" s="43">
        <f>L2111*K2111</f>
        <v>0</v>
      </c>
      <c r="N2111" s="35">
        <v>4690368022347</v>
      </c>
    </row>
    <row r="2112" spans="1:14" ht="36" customHeight="1" outlineLevel="3" x14ac:dyDescent="0.2">
      <c r="A2112" s="45">
        <v>16160</v>
      </c>
      <c r="B2112" s="37" t="str">
        <f>HYPERLINK("http://sedek.ru/upload/iblock/c27/tomat_sladkaya_devochka_f1.jpg","фото")</f>
        <v>фото</v>
      </c>
      <c r="C2112" s="38"/>
      <c r="D2112" s="38"/>
      <c r="E2112" s="39"/>
      <c r="F2112" s="39" t="s">
        <v>2614</v>
      </c>
      <c r="G2112" s="54">
        <v>0.05</v>
      </c>
      <c r="H2112" s="39" t="s">
        <v>101</v>
      </c>
      <c r="I2112" s="39" t="s">
        <v>102</v>
      </c>
      <c r="J2112" s="41">
        <v>5000</v>
      </c>
      <c r="K2112" s="42">
        <v>54.4</v>
      </c>
      <c r="L2112" s="43"/>
      <c r="M2112" s="43">
        <f>L2112*K2112</f>
        <v>0</v>
      </c>
      <c r="N2112" s="35">
        <v>4607149404940</v>
      </c>
    </row>
    <row r="2113" spans="1:14" ht="36" customHeight="1" outlineLevel="3" x14ac:dyDescent="0.2">
      <c r="A2113" s="45">
        <v>15793</v>
      </c>
      <c r="B2113" s="37" t="str">
        <f>HYPERLINK("http://sedek.ru/upload/iblock/6bf/tomat_sladkoezhka.jpg","фото")</f>
        <v>фото</v>
      </c>
      <c r="C2113" s="38"/>
      <c r="D2113" s="38"/>
      <c r="E2113" s="39"/>
      <c r="F2113" s="39" t="s">
        <v>2615</v>
      </c>
      <c r="G2113" s="44">
        <v>0.2</v>
      </c>
      <c r="H2113" s="39" t="s">
        <v>101</v>
      </c>
      <c r="I2113" s="39" t="s">
        <v>102</v>
      </c>
      <c r="J2113" s="41">
        <v>3000</v>
      </c>
      <c r="K2113" s="42">
        <v>19.5</v>
      </c>
      <c r="L2113" s="43"/>
      <c r="M2113" s="43">
        <f>L2113*K2113</f>
        <v>0</v>
      </c>
      <c r="N2113" s="35">
        <v>4607116261521</v>
      </c>
    </row>
    <row r="2114" spans="1:14" ht="36" customHeight="1" outlineLevel="3" x14ac:dyDescent="0.2">
      <c r="A2114" s="45">
        <v>15165</v>
      </c>
      <c r="B2114" s="37" t="str">
        <f>HYPERLINK("http://sedek.ru/upload/iblock/0b1/tomat_slivka_konservnaya.jpg","фото")</f>
        <v>фото</v>
      </c>
      <c r="C2114" s="38"/>
      <c r="D2114" s="38" t="s">
        <v>266</v>
      </c>
      <c r="E2114" s="39"/>
      <c r="F2114" s="39" t="s">
        <v>2616</v>
      </c>
      <c r="G2114" s="44">
        <v>0.1</v>
      </c>
      <c r="H2114" s="39" t="s">
        <v>101</v>
      </c>
      <c r="I2114" s="39" t="s">
        <v>102</v>
      </c>
      <c r="J2114" s="41">
        <v>4000</v>
      </c>
      <c r="K2114" s="42">
        <v>19.3</v>
      </c>
      <c r="L2114" s="43"/>
      <c r="M2114" s="43">
        <f>L2114*K2114</f>
        <v>0</v>
      </c>
      <c r="N2114" s="35">
        <v>4690368007313</v>
      </c>
    </row>
    <row r="2115" spans="1:14" ht="36" customHeight="1" outlineLevel="3" x14ac:dyDescent="0.2">
      <c r="A2115" s="36" t="s">
        <v>2617</v>
      </c>
      <c r="B2115" s="37" t="str">
        <f>HYPERLINK("http://sedek.ru/upload/iblock/063/tomat_slivka_shokoladnaya.jpg","фото")</f>
        <v>фото</v>
      </c>
      <c r="C2115" s="38"/>
      <c r="D2115" s="38" t="s">
        <v>266</v>
      </c>
      <c r="E2115" s="39" t="s">
        <v>2093</v>
      </c>
      <c r="F2115" s="39" t="s">
        <v>2618</v>
      </c>
      <c r="G2115" s="44">
        <v>0.1</v>
      </c>
      <c r="H2115" s="39" t="s">
        <v>101</v>
      </c>
      <c r="I2115" s="39" t="s">
        <v>102</v>
      </c>
      <c r="J2115" s="41">
        <v>4000</v>
      </c>
      <c r="K2115" s="42">
        <v>20.5</v>
      </c>
      <c r="L2115" s="43"/>
      <c r="M2115" s="43">
        <f>L2115*K2115</f>
        <v>0</v>
      </c>
      <c r="N2115" s="35">
        <v>4690368026024</v>
      </c>
    </row>
    <row r="2116" spans="1:14" ht="24" customHeight="1" outlineLevel="3" x14ac:dyDescent="0.2">
      <c r="A2116" s="36" t="s">
        <v>2619</v>
      </c>
      <c r="B2116" s="37" t="str">
        <f>HYPERLINK("http://www.sedek.ru/upload/iblock/707/cnptowa83xndxms4ifjhgngihw485rvr/tomat_slon_zhyeltyy_f1.png","фото")</f>
        <v>фото</v>
      </c>
      <c r="C2116" s="38" t="s">
        <v>266</v>
      </c>
      <c r="D2116" s="38"/>
      <c r="E2116" s="39"/>
      <c r="F2116" s="39" t="s">
        <v>2620</v>
      </c>
      <c r="G2116" s="44">
        <v>0.1</v>
      </c>
      <c r="H2116" s="39" t="s">
        <v>101</v>
      </c>
      <c r="I2116" s="39" t="s">
        <v>102</v>
      </c>
      <c r="J2116" s="41">
        <v>4000</v>
      </c>
      <c r="K2116" s="42">
        <v>20.6</v>
      </c>
      <c r="L2116" s="43"/>
      <c r="M2116" s="43">
        <f>L2116*K2116</f>
        <v>0</v>
      </c>
      <c r="N2116" s="35">
        <v>4690368039468</v>
      </c>
    </row>
    <row r="2117" spans="1:14" ht="36" customHeight="1" outlineLevel="3" x14ac:dyDescent="0.2">
      <c r="A2117" s="45">
        <v>16293</v>
      </c>
      <c r="B2117" s="37" t="str">
        <f>HYPERLINK("http://sedek.ru/upload/iblock/1b0/tomat_sosulka_krasnaya.jpg","фото")</f>
        <v>фото</v>
      </c>
      <c r="C2117" s="38"/>
      <c r="D2117" s="38"/>
      <c r="E2117" s="39"/>
      <c r="F2117" s="39" t="s">
        <v>2621</v>
      </c>
      <c r="G2117" s="44">
        <v>0.2</v>
      </c>
      <c r="H2117" s="39" t="s">
        <v>101</v>
      </c>
      <c r="I2117" s="39" t="s">
        <v>102</v>
      </c>
      <c r="J2117" s="41">
        <v>3000</v>
      </c>
      <c r="K2117" s="42">
        <v>20</v>
      </c>
      <c r="L2117" s="43"/>
      <c r="M2117" s="43">
        <f>L2117*K2117</f>
        <v>0</v>
      </c>
      <c r="N2117" s="35">
        <v>4607116261545</v>
      </c>
    </row>
    <row r="2118" spans="1:14" ht="36" customHeight="1" outlineLevel="3" x14ac:dyDescent="0.2">
      <c r="A2118" s="45">
        <v>14887</v>
      </c>
      <c r="B2118" s="37" t="str">
        <f>HYPERLINK("http://sedek.ru/upload/iblock/df2/tomat_sosulka_rozovaya.jpg","фото")</f>
        <v>фото</v>
      </c>
      <c r="C2118" s="38"/>
      <c r="D2118" s="38"/>
      <c r="E2118" s="39"/>
      <c r="F2118" s="39" t="s">
        <v>2622</v>
      </c>
      <c r="G2118" s="44">
        <v>0.1</v>
      </c>
      <c r="H2118" s="39" t="s">
        <v>101</v>
      </c>
      <c r="I2118" s="39" t="s">
        <v>102</v>
      </c>
      <c r="J2118" s="41">
        <v>4000</v>
      </c>
      <c r="K2118" s="42">
        <v>20</v>
      </c>
      <c r="L2118" s="43"/>
      <c r="M2118" s="43">
        <f>L2118*K2118</f>
        <v>0</v>
      </c>
      <c r="N2118" s="35">
        <v>4607116261552</v>
      </c>
    </row>
    <row r="2119" spans="1:14" ht="24" customHeight="1" outlineLevel="3" x14ac:dyDescent="0.2">
      <c r="A2119" s="45">
        <v>15685</v>
      </c>
      <c r="B2119" s="37" t="str">
        <f>HYPERLINK("http://sedek.ru/upload/iblock/ea7/tomat_sofya_f1.jpg","фото")</f>
        <v>фото</v>
      </c>
      <c r="C2119" s="38"/>
      <c r="D2119" s="38" t="s">
        <v>266</v>
      </c>
      <c r="E2119" s="39"/>
      <c r="F2119" s="39" t="s">
        <v>2623</v>
      </c>
      <c r="G2119" s="54">
        <v>0.05</v>
      </c>
      <c r="H2119" s="39" t="s">
        <v>101</v>
      </c>
      <c r="I2119" s="39" t="s">
        <v>102</v>
      </c>
      <c r="J2119" s="41">
        <v>5000</v>
      </c>
      <c r="K2119" s="42">
        <v>20.5</v>
      </c>
      <c r="L2119" s="43"/>
      <c r="M2119" s="43">
        <f>L2119*K2119</f>
        <v>0</v>
      </c>
      <c r="N2119" s="35">
        <v>4607116261569</v>
      </c>
    </row>
    <row r="2120" spans="1:14" ht="36" customHeight="1" outlineLevel="3" x14ac:dyDescent="0.2">
      <c r="A2120" s="45">
        <v>14646</v>
      </c>
      <c r="B2120" s="37" t="str">
        <f>HYPERLINK("http://sedek.ru/upload/iblock/abb/tomat_soyuz_8_f1.jpg","фото")</f>
        <v>фото</v>
      </c>
      <c r="C2120" s="38"/>
      <c r="D2120" s="38"/>
      <c r="E2120" s="39"/>
      <c r="F2120" s="39" t="s">
        <v>2624</v>
      </c>
      <c r="G2120" s="54">
        <v>0.05</v>
      </c>
      <c r="H2120" s="39" t="s">
        <v>101</v>
      </c>
      <c r="I2120" s="39" t="s">
        <v>102</v>
      </c>
      <c r="J2120" s="41">
        <v>5000</v>
      </c>
      <c r="K2120" s="42">
        <v>22.7</v>
      </c>
      <c r="L2120" s="43"/>
      <c r="M2120" s="43">
        <f>L2120*K2120</f>
        <v>0</v>
      </c>
      <c r="N2120" s="35">
        <v>4607116261576</v>
      </c>
    </row>
    <row r="2121" spans="1:14" ht="36" customHeight="1" outlineLevel="3" x14ac:dyDescent="0.2">
      <c r="A2121" s="36" t="s">
        <v>2625</v>
      </c>
      <c r="B2121" s="37" t="str">
        <f>HYPERLINK("http://sedek.ru/upload/iblock/c07/tomat_sprut_f1.jpg","фото")</f>
        <v>фото</v>
      </c>
      <c r="C2121" s="38"/>
      <c r="D2121" s="38"/>
      <c r="E2121" s="39" t="s">
        <v>2626</v>
      </c>
      <c r="F2121" s="39" t="s">
        <v>2627</v>
      </c>
      <c r="G2121" s="54">
        <v>0.03</v>
      </c>
      <c r="H2121" s="39" t="s">
        <v>101</v>
      </c>
      <c r="I2121" s="39" t="s">
        <v>102</v>
      </c>
      <c r="J2121" s="41">
        <v>5000</v>
      </c>
      <c r="K2121" s="42">
        <v>76.5</v>
      </c>
      <c r="L2121" s="43"/>
      <c r="M2121" s="43">
        <f>L2121*K2121</f>
        <v>0</v>
      </c>
      <c r="N2121" s="35">
        <v>4607116261583</v>
      </c>
    </row>
    <row r="2122" spans="1:14" ht="24" customHeight="1" outlineLevel="3" x14ac:dyDescent="0.2">
      <c r="A2122" s="36" t="s">
        <v>2628</v>
      </c>
      <c r="B2122" s="37" t="str">
        <f>HYPERLINK("http://www.sedek.ru/upload/iblock/f7b/tomat_sprut_zolotoy_f1.jpg","фото")</f>
        <v>фото</v>
      </c>
      <c r="C2122" s="38"/>
      <c r="D2122" s="38" t="s">
        <v>266</v>
      </c>
      <c r="E2122" s="39" t="s">
        <v>2626</v>
      </c>
      <c r="F2122" s="39" t="s">
        <v>2629</v>
      </c>
      <c r="G2122" s="54">
        <v>0.03</v>
      </c>
      <c r="H2122" s="39" t="s">
        <v>101</v>
      </c>
      <c r="I2122" s="39" t="s">
        <v>102</v>
      </c>
      <c r="J2122" s="41">
        <v>5000</v>
      </c>
      <c r="K2122" s="42">
        <v>66.8</v>
      </c>
      <c r="L2122" s="43"/>
      <c r="M2122" s="43">
        <f>L2122*K2122</f>
        <v>0</v>
      </c>
      <c r="N2122" s="35">
        <v>4690368035477</v>
      </c>
    </row>
    <row r="2123" spans="1:14" ht="24" customHeight="1" outlineLevel="3" x14ac:dyDescent="0.2">
      <c r="A2123" s="36" t="s">
        <v>2630</v>
      </c>
      <c r="B2123" s="37" t="str">
        <f>HYPERLINK("http://sedek.ru/upload/iblock/07d/tomat_sprut_slivka_f1.jpg","фото")</f>
        <v>фото</v>
      </c>
      <c r="C2123" s="38"/>
      <c r="D2123" s="38"/>
      <c r="E2123" s="39" t="s">
        <v>2626</v>
      </c>
      <c r="F2123" s="39" t="s">
        <v>2631</v>
      </c>
      <c r="G2123" s="54">
        <v>0.03</v>
      </c>
      <c r="H2123" s="39" t="s">
        <v>101</v>
      </c>
      <c r="I2123" s="39" t="s">
        <v>102</v>
      </c>
      <c r="J2123" s="41">
        <v>5000</v>
      </c>
      <c r="K2123" s="42">
        <v>75</v>
      </c>
      <c r="L2123" s="43"/>
      <c r="M2123" s="43">
        <f>L2123*K2123</f>
        <v>0</v>
      </c>
      <c r="N2123" s="35">
        <v>4690368013086</v>
      </c>
    </row>
    <row r="2124" spans="1:14" ht="36" customHeight="1" outlineLevel="3" x14ac:dyDescent="0.2">
      <c r="A2124" s="36" t="s">
        <v>2632</v>
      </c>
      <c r="B2124" s="37" t="str">
        <f>HYPERLINK("http://www.sedek.ru/upload/iblock/17d/tomat_sprut_slivka_malinovaya_f1.jpg","фото")</f>
        <v>фото</v>
      </c>
      <c r="C2124" s="38"/>
      <c r="D2124" s="38"/>
      <c r="E2124" s="39" t="s">
        <v>2626</v>
      </c>
      <c r="F2124" s="39" t="s">
        <v>2633</v>
      </c>
      <c r="G2124" s="54">
        <v>0.03</v>
      </c>
      <c r="H2124" s="39" t="s">
        <v>101</v>
      </c>
      <c r="I2124" s="39" t="s">
        <v>102</v>
      </c>
      <c r="J2124" s="41">
        <v>5000</v>
      </c>
      <c r="K2124" s="42">
        <v>66.8</v>
      </c>
      <c r="L2124" s="43"/>
      <c r="M2124" s="43">
        <f>L2124*K2124</f>
        <v>0</v>
      </c>
      <c r="N2124" s="35">
        <v>4690368030960</v>
      </c>
    </row>
    <row r="2125" spans="1:14" ht="36" customHeight="1" outlineLevel="3" x14ac:dyDescent="0.2">
      <c r="A2125" s="36" t="s">
        <v>2634</v>
      </c>
      <c r="B2125" s="37" t="str">
        <f>HYPERLINK("http://www.sedek.ru/upload/iblock/188/tomat_sprut_slivka_oranzhevaya_f1.jpg","фото")</f>
        <v>фото</v>
      </c>
      <c r="C2125" s="38"/>
      <c r="D2125" s="38" t="s">
        <v>266</v>
      </c>
      <c r="E2125" s="39" t="s">
        <v>2626</v>
      </c>
      <c r="F2125" s="39" t="s">
        <v>2635</v>
      </c>
      <c r="G2125" s="54">
        <v>0.03</v>
      </c>
      <c r="H2125" s="39" t="s">
        <v>101</v>
      </c>
      <c r="I2125" s="39" t="s">
        <v>102</v>
      </c>
      <c r="J2125" s="41">
        <v>5000</v>
      </c>
      <c r="K2125" s="42">
        <v>63.3</v>
      </c>
      <c r="L2125" s="43"/>
      <c r="M2125" s="43">
        <f>L2125*K2125</f>
        <v>0</v>
      </c>
      <c r="N2125" s="35">
        <v>4690368030977</v>
      </c>
    </row>
    <row r="2126" spans="1:14" ht="36" customHeight="1" outlineLevel="3" x14ac:dyDescent="0.2">
      <c r="A2126" s="36" t="s">
        <v>2636</v>
      </c>
      <c r="B2126" s="37" t="str">
        <f>HYPERLINK("http://www.sedek.ru/upload/iblock/f65/tomat_f1_sprut_slivka_shokoladnaya.jpg","Фото")</f>
        <v>Фото</v>
      </c>
      <c r="C2126" s="38"/>
      <c r="D2126" s="38" t="s">
        <v>266</v>
      </c>
      <c r="E2126" s="39" t="s">
        <v>2626</v>
      </c>
      <c r="F2126" s="39" t="s">
        <v>2637</v>
      </c>
      <c r="G2126" s="54">
        <v>0.03</v>
      </c>
      <c r="H2126" s="39" t="s">
        <v>101</v>
      </c>
      <c r="I2126" s="39" t="s">
        <v>102</v>
      </c>
      <c r="J2126" s="41">
        <v>5000</v>
      </c>
      <c r="K2126" s="42">
        <v>66.8</v>
      </c>
      <c r="L2126" s="43"/>
      <c r="M2126" s="43">
        <f>L2126*K2126</f>
        <v>0</v>
      </c>
      <c r="N2126" s="35">
        <v>4690368030984</v>
      </c>
    </row>
    <row r="2127" spans="1:14" ht="36" customHeight="1" outlineLevel="3" x14ac:dyDescent="0.2">
      <c r="A2127" s="36" t="s">
        <v>2638</v>
      </c>
      <c r="B2127" s="37" t="str">
        <f>HYPERLINK("http://sedek.ru/upload/iblock/d04/tomat_sprut_cherri.jpg","фото")</f>
        <v>фото</v>
      </c>
      <c r="C2127" s="38"/>
      <c r="D2127" s="38"/>
      <c r="E2127" s="39" t="s">
        <v>2626</v>
      </c>
      <c r="F2127" s="39" t="s">
        <v>2639</v>
      </c>
      <c r="G2127" s="54">
        <v>0.03</v>
      </c>
      <c r="H2127" s="39" t="s">
        <v>101</v>
      </c>
      <c r="I2127" s="39" t="s">
        <v>102</v>
      </c>
      <c r="J2127" s="41">
        <v>5000</v>
      </c>
      <c r="K2127" s="42">
        <v>65.3</v>
      </c>
      <c r="L2127" s="43"/>
      <c r="M2127" s="43">
        <f>L2127*K2127</f>
        <v>0</v>
      </c>
      <c r="N2127" s="35">
        <v>4690368009966</v>
      </c>
    </row>
    <row r="2128" spans="1:14" ht="36" customHeight="1" outlineLevel="3" x14ac:dyDescent="0.2">
      <c r="A2128" s="36" t="s">
        <v>2640</v>
      </c>
      <c r="B2128" s="37" t="str">
        <f>HYPERLINK("http://www.sedek.ru/upload/iblock/889/tomat_sprut_cherri_malinovyy_f1.jpg","фото")</f>
        <v>фото</v>
      </c>
      <c r="C2128" s="38"/>
      <c r="D2128" s="38"/>
      <c r="E2128" s="39" t="s">
        <v>2626</v>
      </c>
      <c r="F2128" s="39" t="s">
        <v>2641</v>
      </c>
      <c r="G2128" s="54">
        <v>0.03</v>
      </c>
      <c r="H2128" s="39" t="s">
        <v>101</v>
      </c>
      <c r="I2128" s="39" t="s">
        <v>102</v>
      </c>
      <c r="J2128" s="41">
        <v>5000</v>
      </c>
      <c r="K2128" s="42">
        <v>66.8</v>
      </c>
      <c r="L2128" s="43"/>
      <c r="M2128" s="43">
        <f>L2128*K2128</f>
        <v>0</v>
      </c>
      <c r="N2128" s="35">
        <v>4690368030991</v>
      </c>
    </row>
    <row r="2129" spans="1:14" ht="36" customHeight="1" outlineLevel="3" x14ac:dyDescent="0.2">
      <c r="A2129" s="45">
        <v>13821</v>
      </c>
      <c r="B2129" s="37" t="str">
        <f>HYPERLINK("http://sedek.ru/upload/iblock/f15/tomat_subarktik.JPG","фото")</f>
        <v>фото</v>
      </c>
      <c r="C2129" s="38"/>
      <c r="D2129" s="38" t="s">
        <v>266</v>
      </c>
      <c r="E2129" s="39" t="s">
        <v>2090</v>
      </c>
      <c r="F2129" s="39" t="s">
        <v>2642</v>
      </c>
      <c r="G2129" s="44">
        <v>0.2</v>
      </c>
      <c r="H2129" s="39" t="s">
        <v>101</v>
      </c>
      <c r="I2129" s="39" t="s">
        <v>102</v>
      </c>
      <c r="J2129" s="41">
        <v>3000</v>
      </c>
      <c r="K2129" s="42">
        <v>18.8</v>
      </c>
      <c r="L2129" s="43"/>
      <c r="M2129" s="43">
        <f>L2129*K2129</f>
        <v>0</v>
      </c>
      <c r="N2129" s="35">
        <v>4607116261606</v>
      </c>
    </row>
    <row r="2130" spans="1:14" ht="36" customHeight="1" outlineLevel="3" x14ac:dyDescent="0.2">
      <c r="A2130" s="45">
        <v>13806</v>
      </c>
      <c r="B2130" s="37" t="str">
        <f>HYPERLINK("http://www.sedek.ru/upload/iblock/cc1/tomat_sumoist_f1.jpg","фото")</f>
        <v>фото</v>
      </c>
      <c r="C2130" s="38"/>
      <c r="D2130" s="38"/>
      <c r="E2130" s="39"/>
      <c r="F2130" s="39" t="s">
        <v>2643</v>
      </c>
      <c r="G2130" s="54">
        <v>0.05</v>
      </c>
      <c r="H2130" s="39" t="s">
        <v>101</v>
      </c>
      <c r="I2130" s="39" t="s">
        <v>102</v>
      </c>
      <c r="J2130" s="41">
        <v>5000</v>
      </c>
      <c r="K2130" s="42">
        <v>37.200000000000003</v>
      </c>
      <c r="L2130" s="43"/>
      <c r="M2130" s="43">
        <f>L2130*K2130</f>
        <v>0</v>
      </c>
      <c r="N2130" s="35">
        <v>4607116261620</v>
      </c>
    </row>
    <row r="2131" spans="1:14" ht="36" customHeight="1" outlineLevel="3" x14ac:dyDescent="0.2">
      <c r="A2131" s="45">
        <v>15505</v>
      </c>
      <c r="B2131" s="37" t="str">
        <f>HYPERLINK("http://sedek.ru/upload/iblock/b02/tomat_superstar.jpg","фото")</f>
        <v>фото</v>
      </c>
      <c r="C2131" s="38"/>
      <c r="D2131" s="38"/>
      <c r="E2131" s="39"/>
      <c r="F2131" s="39" t="s">
        <v>2644</v>
      </c>
      <c r="G2131" s="44">
        <v>0.2</v>
      </c>
      <c r="H2131" s="39" t="s">
        <v>101</v>
      </c>
      <c r="I2131" s="39" t="s">
        <v>102</v>
      </c>
      <c r="J2131" s="41">
        <v>3000</v>
      </c>
      <c r="K2131" s="42">
        <v>20.5</v>
      </c>
      <c r="L2131" s="43"/>
      <c r="M2131" s="43">
        <f>L2131*K2131</f>
        <v>0</v>
      </c>
      <c r="N2131" s="35">
        <v>4607116261644</v>
      </c>
    </row>
    <row r="2132" spans="1:14" ht="24" customHeight="1" outlineLevel="3" x14ac:dyDescent="0.2">
      <c r="A2132" s="45">
        <v>15578</v>
      </c>
      <c r="B2132" s="37" t="str">
        <f>HYPERLINK("http://sedek.ru/upload/iblock/8c9/tomat_schaste_f1.jpg","фото")</f>
        <v>фото</v>
      </c>
      <c r="C2132" s="38"/>
      <c r="D2132" s="38"/>
      <c r="E2132" s="39"/>
      <c r="F2132" s="39" t="s">
        <v>2645</v>
      </c>
      <c r="G2132" s="54">
        <v>0.05</v>
      </c>
      <c r="H2132" s="39" t="s">
        <v>101</v>
      </c>
      <c r="I2132" s="39" t="s">
        <v>102</v>
      </c>
      <c r="J2132" s="41">
        <v>5000</v>
      </c>
      <c r="K2132" s="42">
        <v>49</v>
      </c>
      <c r="L2132" s="43"/>
      <c r="M2132" s="43">
        <f>L2132*K2132</f>
        <v>0</v>
      </c>
      <c r="N2132" s="35">
        <v>4690368007658</v>
      </c>
    </row>
    <row r="2133" spans="1:14" ht="24" customHeight="1" outlineLevel="3" x14ac:dyDescent="0.2">
      <c r="A2133" s="45">
        <v>15539</v>
      </c>
      <c r="B2133" s="37" t="str">
        <f>HYPERLINK("http://sedek.ru/upload/iblock/d00/tomat_schaste_russkoe_f1.jpg","фото")</f>
        <v>фото</v>
      </c>
      <c r="C2133" s="38"/>
      <c r="D2133" s="38" t="s">
        <v>266</v>
      </c>
      <c r="E2133" s="39"/>
      <c r="F2133" s="39" t="s">
        <v>2646</v>
      </c>
      <c r="G2133" s="54">
        <v>0.05</v>
      </c>
      <c r="H2133" s="39" t="s">
        <v>101</v>
      </c>
      <c r="I2133" s="39" t="s">
        <v>102</v>
      </c>
      <c r="J2133" s="41">
        <v>5000</v>
      </c>
      <c r="K2133" s="42">
        <v>48.7</v>
      </c>
      <c r="L2133" s="43"/>
      <c r="M2133" s="43">
        <f>L2133*K2133</f>
        <v>0</v>
      </c>
      <c r="N2133" s="35">
        <v>4690368010931</v>
      </c>
    </row>
    <row r="2134" spans="1:14" ht="24" customHeight="1" outlineLevel="3" x14ac:dyDescent="0.2">
      <c r="A2134" s="36" t="s">
        <v>2647</v>
      </c>
      <c r="B2134" s="37" t="str">
        <f>HYPERLINK("http://sedek.ru/upload/iblock/bab/tomat_tayson.jpg","фото")</f>
        <v>фото</v>
      </c>
      <c r="C2134" s="38" t="s">
        <v>266</v>
      </c>
      <c r="D2134" s="38"/>
      <c r="E2134" s="39" t="s">
        <v>2093</v>
      </c>
      <c r="F2134" s="39" t="s">
        <v>2648</v>
      </c>
      <c r="G2134" s="44">
        <v>0.1</v>
      </c>
      <c r="H2134" s="39" t="s">
        <v>101</v>
      </c>
      <c r="I2134" s="39" t="s">
        <v>102</v>
      </c>
      <c r="J2134" s="41">
        <v>3000</v>
      </c>
      <c r="K2134" s="42">
        <v>46.1</v>
      </c>
      <c r="L2134" s="43"/>
      <c r="M2134" s="43">
        <f>L2134*K2134</f>
        <v>0</v>
      </c>
      <c r="N2134" s="35">
        <v>4690368039536</v>
      </c>
    </row>
    <row r="2135" spans="1:14" ht="24" customHeight="1" outlineLevel="3" x14ac:dyDescent="0.2">
      <c r="A2135" s="45">
        <v>14002</v>
      </c>
      <c r="B2135" s="37" t="str">
        <f>HYPERLINK("http://www.sedek.ru/upload/iblock/10f/tomat_talalikhin_186.jpg","фото")</f>
        <v>фото</v>
      </c>
      <c r="C2135" s="38"/>
      <c r="D2135" s="38"/>
      <c r="E2135" s="39"/>
      <c r="F2135" s="39" t="s">
        <v>2649</v>
      </c>
      <c r="G2135" s="44">
        <v>0.2</v>
      </c>
      <c r="H2135" s="39" t="s">
        <v>101</v>
      </c>
      <c r="I2135" s="39" t="s">
        <v>102</v>
      </c>
      <c r="J2135" s="41">
        <v>3000</v>
      </c>
      <c r="K2135" s="42">
        <v>18.8</v>
      </c>
      <c r="L2135" s="43"/>
      <c r="M2135" s="43">
        <f>L2135*K2135</f>
        <v>0</v>
      </c>
      <c r="N2135" s="35">
        <v>4607116261668</v>
      </c>
    </row>
    <row r="2136" spans="1:14" ht="24" customHeight="1" outlineLevel="3" x14ac:dyDescent="0.2">
      <c r="A2136" s="45">
        <v>14002</v>
      </c>
      <c r="B2136" s="37" t="str">
        <f>HYPERLINK("http://www.sedek.ru/upload/iblock/10f/tomat_talalikhin_186.jpg","фото")</f>
        <v>фото</v>
      </c>
      <c r="C2136" s="38"/>
      <c r="D2136" s="38"/>
      <c r="E2136" s="39"/>
      <c r="F2136" s="39" t="s">
        <v>2650</v>
      </c>
      <c r="G2136" s="44">
        <v>0.2</v>
      </c>
      <c r="H2136" s="39" t="s">
        <v>101</v>
      </c>
      <c r="I2136" s="39" t="s">
        <v>287</v>
      </c>
      <c r="J2136" s="41">
        <v>3000</v>
      </c>
      <c r="K2136" s="42">
        <v>7.3</v>
      </c>
      <c r="L2136" s="43"/>
      <c r="M2136" s="43">
        <f>L2136*K2136</f>
        <v>0</v>
      </c>
      <c r="N2136" s="35">
        <v>4690368011785</v>
      </c>
    </row>
    <row r="2137" spans="1:14" ht="24" customHeight="1" outlineLevel="3" x14ac:dyDescent="0.2">
      <c r="A2137" s="45">
        <v>15786</v>
      </c>
      <c r="B2137" s="37" t="str">
        <f>HYPERLINK("http://www.sedek.ru/upload/iblock/9c8/tomat_tatyana.jpg","фото")</f>
        <v>фото</v>
      </c>
      <c r="C2137" s="38"/>
      <c r="D2137" s="38"/>
      <c r="E2137" s="39"/>
      <c r="F2137" s="39" t="s">
        <v>2651</v>
      </c>
      <c r="G2137" s="44">
        <v>0.1</v>
      </c>
      <c r="H2137" s="39" t="s">
        <v>101</v>
      </c>
      <c r="I2137" s="39" t="s">
        <v>102</v>
      </c>
      <c r="J2137" s="41">
        <v>4000</v>
      </c>
      <c r="K2137" s="42">
        <v>22.7</v>
      </c>
      <c r="L2137" s="43"/>
      <c r="M2137" s="43">
        <f>L2137*K2137</f>
        <v>0</v>
      </c>
      <c r="N2137" s="35">
        <v>4607116261675</v>
      </c>
    </row>
    <row r="2138" spans="1:14" ht="24" customHeight="1" outlineLevel="3" x14ac:dyDescent="0.2">
      <c r="A2138" s="45">
        <v>17009</v>
      </c>
      <c r="B2138" s="37" t="str">
        <f>HYPERLINK("http://sedek.ru/upload/iblock/de5/tomat_tolstyy_karlson_f1.jpg","фото")</f>
        <v>фото</v>
      </c>
      <c r="C2138" s="38"/>
      <c r="D2138" s="38"/>
      <c r="E2138" s="39"/>
      <c r="F2138" s="39" t="s">
        <v>2652</v>
      </c>
      <c r="G2138" s="54">
        <v>0.05</v>
      </c>
      <c r="H2138" s="39" t="s">
        <v>101</v>
      </c>
      <c r="I2138" s="39" t="s">
        <v>102</v>
      </c>
      <c r="J2138" s="41">
        <v>5000</v>
      </c>
      <c r="K2138" s="42">
        <v>37.299999999999997</v>
      </c>
      <c r="L2138" s="43"/>
      <c r="M2138" s="43">
        <f>L2138*K2138</f>
        <v>0</v>
      </c>
      <c r="N2138" s="35">
        <v>4690368025454</v>
      </c>
    </row>
    <row r="2139" spans="1:14" ht="24" customHeight="1" outlineLevel="3" x14ac:dyDescent="0.2">
      <c r="A2139" s="36" t="s">
        <v>2653</v>
      </c>
      <c r="B2139" s="37" t="str">
        <f>HYPERLINK("http://sedek.ru/upload/iblock/d3b/tomat_tolstyy_sosed_f1.jpg","фото")</f>
        <v>фото</v>
      </c>
      <c r="C2139" s="38"/>
      <c r="D2139" s="38" t="s">
        <v>266</v>
      </c>
      <c r="E2139" s="39"/>
      <c r="F2139" s="39" t="s">
        <v>2654</v>
      </c>
      <c r="G2139" s="54">
        <v>0.03</v>
      </c>
      <c r="H2139" s="39" t="s">
        <v>101</v>
      </c>
      <c r="I2139" s="39" t="s">
        <v>102</v>
      </c>
      <c r="J2139" s="41">
        <v>5000</v>
      </c>
      <c r="K2139" s="42">
        <v>49.3</v>
      </c>
      <c r="L2139" s="43"/>
      <c r="M2139" s="43">
        <f>L2139*K2139</f>
        <v>0</v>
      </c>
      <c r="N2139" s="35">
        <v>4690368007641</v>
      </c>
    </row>
    <row r="2140" spans="1:14" ht="24" customHeight="1" outlineLevel="3" x14ac:dyDescent="0.2">
      <c r="A2140" s="45">
        <v>13699</v>
      </c>
      <c r="B2140" s="37" t="str">
        <f>HYPERLINK("http://www.sedek.ru/upload/iblock/135/tomat_tolstyak_f1.jpg","Фото")</f>
        <v>Фото</v>
      </c>
      <c r="C2140" s="38"/>
      <c r="D2140" s="38"/>
      <c r="E2140" s="39"/>
      <c r="F2140" s="39" t="s">
        <v>2655</v>
      </c>
      <c r="G2140" s="44">
        <v>0.1</v>
      </c>
      <c r="H2140" s="39" t="s">
        <v>101</v>
      </c>
      <c r="I2140" s="39" t="s">
        <v>102</v>
      </c>
      <c r="J2140" s="41">
        <v>4000</v>
      </c>
      <c r="K2140" s="42">
        <v>20</v>
      </c>
      <c r="L2140" s="43"/>
      <c r="M2140" s="43">
        <f>L2140*K2140</f>
        <v>0</v>
      </c>
      <c r="N2140" s="35">
        <v>4690368022354</v>
      </c>
    </row>
    <row r="2141" spans="1:14" ht="48" customHeight="1" outlineLevel="3" x14ac:dyDescent="0.2">
      <c r="A2141" s="36" t="s">
        <v>2656</v>
      </c>
      <c r="B2141" s="37" t="str">
        <f>HYPERLINK("http://www.sedek.ru/upload/iblock/b73/tomat_tryufel_krasnyy.jpg","Фото")</f>
        <v>Фото</v>
      </c>
      <c r="C2141" s="38"/>
      <c r="D2141" s="38" t="s">
        <v>266</v>
      </c>
      <c r="E2141" s="39"/>
      <c r="F2141" s="39" t="s">
        <v>2657</v>
      </c>
      <c r="G2141" s="44">
        <v>0.1</v>
      </c>
      <c r="H2141" s="39" t="s">
        <v>101</v>
      </c>
      <c r="I2141" s="39" t="s">
        <v>102</v>
      </c>
      <c r="J2141" s="41">
        <v>3000</v>
      </c>
      <c r="K2141" s="42">
        <v>26.6</v>
      </c>
      <c r="L2141" s="43"/>
      <c r="M2141" s="43">
        <f>L2141*K2141</f>
        <v>0</v>
      </c>
      <c r="N2141" s="35">
        <v>4690368037228</v>
      </c>
    </row>
    <row r="2142" spans="1:14" ht="36" customHeight="1" outlineLevel="3" x14ac:dyDescent="0.2">
      <c r="A2142" s="36" t="s">
        <v>2658</v>
      </c>
      <c r="B2142" s="37" t="str">
        <f>HYPERLINK("http://www.sedek.ru/upload/iblock/b2e/tomat_ultraskorospelyy.jpg","Фото")</f>
        <v>Фото</v>
      </c>
      <c r="C2142" s="38"/>
      <c r="D2142" s="38"/>
      <c r="E2142" s="39" t="s">
        <v>2090</v>
      </c>
      <c r="F2142" s="39" t="s">
        <v>2659</v>
      </c>
      <c r="G2142" s="44">
        <v>0.1</v>
      </c>
      <c r="H2142" s="39" t="s">
        <v>101</v>
      </c>
      <c r="I2142" s="39" t="s">
        <v>102</v>
      </c>
      <c r="J2142" s="41">
        <v>4000</v>
      </c>
      <c r="K2142" s="42">
        <v>20</v>
      </c>
      <c r="L2142" s="43"/>
      <c r="M2142" s="43">
        <f>L2142*K2142</f>
        <v>0</v>
      </c>
      <c r="N2142" s="35">
        <v>4690368030779</v>
      </c>
    </row>
    <row r="2143" spans="1:14" ht="36" customHeight="1" outlineLevel="3" x14ac:dyDescent="0.2">
      <c r="A2143" s="45">
        <v>16223</v>
      </c>
      <c r="B2143" s="37" t="str">
        <f>HYPERLINK("http://sedek.ru/upload/iblock/91c/tomat_uslada_f1.jpg","фото")</f>
        <v>фото</v>
      </c>
      <c r="C2143" s="38"/>
      <c r="D2143" s="38"/>
      <c r="E2143" s="39"/>
      <c r="F2143" s="39" t="s">
        <v>2660</v>
      </c>
      <c r="G2143" s="54">
        <v>0.05</v>
      </c>
      <c r="H2143" s="39" t="s">
        <v>101</v>
      </c>
      <c r="I2143" s="39" t="s">
        <v>102</v>
      </c>
      <c r="J2143" s="41">
        <v>5000</v>
      </c>
      <c r="K2143" s="42">
        <v>41.4</v>
      </c>
      <c r="L2143" s="43"/>
      <c r="M2143" s="43">
        <f>L2143*K2143</f>
        <v>0</v>
      </c>
      <c r="N2143" s="35">
        <v>4607015185621</v>
      </c>
    </row>
    <row r="2144" spans="1:14" ht="36" customHeight="1" outlineLevel="3" x14ac:dyDescent="0.2">
      <c r="A2144" s="45">
        <v>15182</v>
      </c>
      <c r="B2144" s="37" t="str">
        <f>HYPERLINK("http://sedek.ru/upload/iblock/898/tomat_uspekh.jpg","фото")</f>
        <v>фото</v>
      </c>
      <c r="C2144" s="38"/>
      <c r="D2144" s="38"/>
      <c r="E2144" s="39"/>
      <c r="F2144" s="39" t="s">
        <v>2661</v>
      </c>
      <c r="G2144" s="44">
        <v>0.2</v>
      </c>
      <c r="H2144" s="39" t="s">
        <v>101</v>
      </c>
      <c r="I2144" s="39" t="s">
        <v>102</v>
      </c>
      <c r="J2144" s="41">
        <v>3000</v>
      </c>
      <c r="K2144" s="42">
        <v>20.5</v>
      </c>
      <c r="L2144" s="43"/>
      <c r="M2144" s="43">
        <f>L2144*K2144</f>
        <v>0</v>
      </c>
      <c r="N2144" s="35">
        <v>4607116261712</v>
      </c>
    </row>
    <row r="2145" spans="1:14" ht="36" customHeight="1" outlineLevel="3" x14ac:dyDescent="0.2">
      <c r="A2145" s="45">
        <v>14900</v>
      </c>
      <c r="B2145" s="37" t="str">
        <f>HYPERLINK("http://sedek.ru/upload/iblock/a25/tomat_ustinya_f1.jpg","фото")</f>
        <v>фото</v>
      </c>
      <c r="C2145" s="38"/>
      <c r="D2145" s="38" t="s">
        <v>266</v>
      </c>
      <c r="E2145" s="39"/>
      <c r="F2145" s="39" t="s">
        <v>2662</v>
      </c>
      <c r="G2145" s="44">
        <v>0.1</v>
      </c>
      <c r="H2145" s="39" t="s">
        <v>101</v>
      </c>
      <c r="I2145" s="39" t="s">
        <v>102</v>
      </c>
      <c r="J2145" s="41">
        <v>4000</v>
      </c>
      <c r="K2145" s="42">
        <v>26.6</v>
      </c>
      <c r="L2145" s="43"/>
      <c r="M2145" s="43">
        <f>L2145*K2145</f>
        <v>0</v>
      </c>
      <c r="N2145" s="35">
        <v>4607015185638</v>
      </c>
    </row>
    <row r="2146" spans="1:14" ht="36" customHeight="1" outlineLevel="3" x14ac:dyDescent="0.2">
      <c r="A2146" s="45">
        <v>14804</v>
      </c>
      <c r="B2146" s="37" t="str">
        <f>HYPERLINK("http://sedek.ru/upload/iblock/f24/tomat_utenok.jpg","фото")</f>
        <v>фото</v>
      </c>
      <c r="C2146" s="38"/>
      <c r="D2146" s="38"/>
      <c r="E2146" s="39"/>
      <c r="F2146" s="39" t="s">
        <v>2663</v>
      </c>
      <c r="G2146" s="44">
        <v>0.1</v>
      </c>
      <c r="H2146" s="39" t="s">
        <v>101</v>
      </c>
      <c r="I2146" s="39" t="s">
        <v>102</v>
      </c>
      <c r="J2146" s="41">
        <v>4000</v>
      </c>
      <c r="K2146" s="42">
        <v>20</v>
      </c>
      <c r="L2146" s="43"/>
      <c r="M2146" s="43">
        <f>L2146*K2146</f>
        <v>0</v>
      </c>
      <c r="N2146" s="35">
        <v>4607116267950</v>
      </c>
    </row>
    <row r="2147" spans="1:14" ht="24" customHeight="1" outlineLevel="3" x14ac:dyDescent="0.2">
      <c r="A2147" s="45">
        <v>16282</v>
      </c>
      <c r="B2147" s="37" t="str">
        <f>HYPERLINK("http://sedek.ru/upload/iblock/9c2/tomat_ukhazher.jpg","фото")</f>
        <v>фото</v>
      </c>
      <c r="C2147" s="38"/>
      <c r="D2147" s="38"/>
      <c r="E2147" s="39"/>
      <c r="F2147" s="39" t="s">
        <v>2664</v>
      </c>
      <c r="G2147" s="44">
        <v>0.1</v>
      </c>
      <c r="H2147" s="39" t="s">
        <v>101</v>
      </c>
      <c r="I2147" s="39" t="s">
        <v>102</v>
      </c>
      <c r="J2147" s="41">
        <v>4000</v>
      </c>
      <c r="K2147" s="42">
        <v>20.5</v>
      </c>
      <c r="L2147" s="43"/>
      <c r="M2147" s="43">
        <f>L2147*K2147</f>
        <v>0</v>
      </c>
      <c r="N2147" s="35">
        <v>4607015185645</v>
      </c>
    </row>
    <row r="2148" spans="1:14" ht="36" customHeight="1" outlineLevel="3" x14ac:dyDescent="0.2">
      <c r="A2148" s="45">
        <v>14360</v>
      </c>
      <c r="B2148" s="37" t="str">
        <f>HYPERLINK("http://www.sedek.ru/upload/iblock/f85/tomat_favorit_sedek.jpg","фото")</f>
        <v>фото</v>
      </c>
      <c r="C2148" s="38"/>
      <c r="D2148" s="38"/>
      <c r="E2148" s="39"/>
      <c r="F2148" s="39" t="s">
        <v>2665</v>
      </c>
      <c r="G2148" s="44">
        <v>0.2</v>
      </c>
      <c r="H2148" s="39" t="s">
        <v>101</v>
      </c>
      <c r="I2148" s="39" t="s">
        <v>102</v>
      </c>
      <c r="J2148" s="41">
        <v>3000</v>
      </c>
      <c r="K2148" s="42">
        <v>19.5</v>
      </c>
      <c r="L2148" s="43"/>
      <c r="M2148" s="43">
        <f>L2148*K2148</f>
        <v>0</v>
      </c>
      <c r="N2148" s="35">
        <v>4607116261736</v>
      </c>
    </row>
    <row r="2149" spans="1:14" ht="36" customHeight="1" outlineLevel="3" x14ac:dyDescent="0.2">
      <c r="A2149" s="45">
        <v>13988</v>
      </c>
      <c r="B2149" s="37" t="str">
        <f>HYPERLINK("http://sedek.ru/upload/iblock/e91/tomat_felichita_f1.jpg","фото")</f>
        <v>фото</v>
      </c>
      <c r="C2149" s="38"/>
      <c r="D2149" s="38"/>
      <c r="E2149" s="39"/>
      <c r="F2149" s="39" t="s">
        <v>2666</v>
      </c>
      <c r="G2149" s="54">
        <v>0.05</v>
      </c>
      <c r="H2149" s="39" t="s">
        <v>101</v>
      </c>
      <c r="I2149" s="39" t="s">
        <v>102</v>
      </c>
      <c r="J2149" s="41">
        <v>5000</v>
      </c>
      <c r="K2149" s="42">
        <v>25.9</v>
      </c>
      <c r="L2149" s="43"/>
      <c r="M2149" s="43">
        <f>L2149*K2149</f>
        <v>0</v>
      </c>
      <c r="N2149" s="35">
        <v>4607015185669</v>
      </c>
    </row>
    <row r="2150" spans="1:14" ht="36" customHeight="1" outlineLevel="3" x14ac:dyDescent="0.2">
      <c r="A2150" s="36" t="s">
        <v>2667</v>
      </c>
      <c r="B2150" s="37" t="str">
        <f>HYPERLINK("http://www.sedek.ru/upload/iblock/c37/h9akr9yi67vwm3v4p0ozdehsge2l6wwq/tomat_fioletovaya_galaktika.png","фото")</f>
        <v>фото</v>
      </c>
      <c r="C2150" s="38" t="s">
        <v>266</v>
      </c>
      <c r="D2150" s="38" t="s">
        <v>266</v>
      </c>
      <c r="E2150" s="39" t="s">
        <v>2452</v>
      </c>
      <c r="F2150" s="39" t="s">
        <v>2668</v>
      </c>
      <c r="G2150" s="44">
        <v>0.1</v>
      </c>
      <c r="H2150" s="39"/>
      <c r="I2150" s="39" t="s">
        <v>102</v>
      </c>
      <c r="J2150" s="41">
        <v>5000</v>
      </c>
      <c r="K2150" s="42">
        <v>46.1</v>
      </c>
      <c r="L2150" s="43"/>
      <c r="M2150" s="43">
        <f>L2150*K2150</f>
        <v>0</v>
      </c>
      <c r="N2150" s="35">
        <v>4690368042987</v>
      </c>
    </row>
    <row r="2151" spans="1:14" ht="36" customHeight="1" outlineLevel="3" x14ac:dyDescent="0.2">
      <c r="A2151" s="36" t="s">
        <v>2669</v>
      </c>
      <c r="B2151" s="37" t="str">
        <f>HYPERLINK("http://sedek.ru/upload/iblock/30d/tomat_fioletovyy_dzhasper.jpg","фото")</f>
        <v>фото</v>
      </c>
      <c r="C2151" s="38" t="s">
        <v>266</v>
      </c>
      <c r="D2151" s="38" t="s">
        <v>266</v>
      </c>
      <c r="E2151" s="39" t="s">
        <v>2093</v>
      </c>
      <c r="F2151" s="39" t="s">
        <v>2670</v>
      </c>
      <c r="G2151" s="44">
        <v>0.1</v>
      </c>
      <c r="H2151" s="39" t="s">
        <v>101</v>
      </c>
      <c r="I2151" s="39" t="s">
        <v>102</v>
      </c>
      <c r="J2151" s="41">
        <v>3000</v>
      </c>
      <c r="K2151" s="42">
        <v>46.1</v>
      </c>
      <c r="L2151" s="43"/>
      <c r="M2151" s="43">
        <f>L2151*K2151</f>
        <v>0</v>
      </c>
      <c r="N2151" s="35">
        <v>4690368039574</v>
      </c>
    </row>
    <row r="2152" spans="1:14" ht="36" customHeight="1" outlineLevel="3" x14ac:dyDescent="0.2">
      <c r="A2152" s="45">
        <v>15426</v>
      </c>
      <c r="B2152" s="37" t="str">
        <f>HYPERLINK("http://sedek.ru/upload/iblock/2b9/tomat_florida_petit.jpg","фото")</f>
        <v>фото</v>
      </c>
      <c r="C2152" s="38"/>
      <c r="D2152" s="38"/>
      <c r="E2152" s="39"/>
      <c r="F2152" s="39" t="s">
        <v>2671</v>
      </c>
      <c r="G2152" s="44">
        <v>0.1</v>
      </c>
      <c r="H2152" s="39" t="s">
        <v>101</v>
      </c>
      <c r="I2152" s="39" t="s">
        <v>102</v>
      </c>
      <c r="J2152" s="41">
        <v>4000</v>
      </c>
      <c r="K2152" s="42">
        <v>19.5</v>
      </c>
      <c r="L2152" s="43"/>
      <c r="M2152" s="43">
        <f>L2152*K2152</f>
        <v>0</v>
      </c>
      <c r="N2152" s="35">
        <v>4607116261767</v>
      </c>
    </row>
    <row r="2153" spans="1:14" ht="24" customHeight="1" outlineLevel="3" x14ac:dyDescent="0.2">
      <c r="A2153" s="45">
        <v>13476</v>
      </c>
      <c r="B2153" s="37" t="str">
        <f>HYPERLINK("http://www.sedek.ru/upload/iblock/79d/tomat_khan.jpg","фото")</f>
        <v>фото</v>
      </c>
      <c r="C2153" s="38"/>
      <c r="D2153" s="38"/>
      <c r="E2153" s="39"/>
      <c r="F2153" s="39" t="s">
        <v>2672</v>
      </c>
      <c r="G2153" s="44">
        <v>0.2</v>
      </c>
      <c r="H2153" s="39" t="s">
        <v>101</v>
      </c>
      <c r="I2153" s="39" t="s">
        <v>102</v>
      </c>
      <c r="J2153" s="41">
        <v>3000</v>
      </c>
      <c r="K2153" s="42">
        <v>20.5</v>
      </c>
      <c r="L2153" s="43"/>
      <c r="M2153" s="43">
        <f>L2153*K2153</f>
        <v>0</v>
      </c>
      <c r="N2153" s="35">
        <v>4607116261798</v>
      </c>
    </row>
    <row r="2154" spans="1:14" ht="36" customHeight="1" outlineLevel="3" x14ac:dyDescent="0.2">
      <c r="A2154" s="46">
        <v>13852</v>
      </c>
      <c r="B2154" s="47" t="str">
        <f>HYPERLINK("http://sedek.ru/upload/iblock/b9a/tomat_khurma.jpg","фото")</f>
        <v>фото</v>
      </c>
      <c r="C2154" s="48"/>
      <c r="D2154" s="48"/>
      <c r="E2154" s="49"/>
      <c r="F2154" s="49" t="s">
        <v>2673</v>
      </c>
      <c r="G2154" s="56">
        <v>0.1</v>
      </c>
      <c r="H2154" s="49" t="s">
        <v>101</v>
      </c>
      <c r="I2154" s="49" t="s">
        <v>102</v>
      </c>
      <c r="J2154" s="51">
        <v>4000</v>
      </c>
      <c r="K2154" s="52">
        <v>14.8</v>
      </c>
      <c r="L2154" s="53"/>
      <c r="M2154" s="53">
        <f>L2154*K2154</f>
        <v>0</v>
      </c>
      <c r="N2154" s="35">
        <v>4607116261804</v>
      </c>
    </row>
    <row r="2155" spans="1:14" ht="24" customHeight="1" outlineLevel="3" x14ac:dyDescent="0.2">
      <c r="A2155" s="45">
        <v>14680</v>
      </c>
      <c r="B2155" s="37" t="str">
        <f>HYPERLINK("http://sedek.ru/upload/iblock/053/tomat_tsarevna_f1.jpg","фото")</f>
        <v>фото</v>
      </c>
      <c r="C2155" s="38"/>
      <c r="D2155" s="38" t="s">
        <v>266</v>
      </c>
      <c r="E2155" s="39" t="s">
        <v>2270</v>
      </c>
      <c r="F2155" s="39" t="s">
        <v>2674</v>
      </c>
      <c r="G2155" s="54">
        <v>0.05</v>
      </c>
      <c r="H2155" s="39" t="s">
        <v>101</v>
      </c>
      <c r="I2155" s="39" t="s">
        <v>102</v>
      </c>
      <c r="J2155" s="41">
        <v>5000</v>
      </c>
      <c r="K2155" s="42">
        <v>38.1</v>
      </c>
      <c r="L2155" s="43"/>
      <c r="M2155" s="43">
        <f>L2155*K2155</f>
        <v>0</v>
      </c>
      <c r="N2155" s="35">
        <v>4690368007405</v>
      </c>
    </row>
    <row r="2156" spans="1:14" ht="24" customHeight="1" outlineLevel="3" x14ac:dyDescent="0.2">
      <c r="A2156" s="36" t="s">
        <v>2675</v>
      </c>
      <c r="B2156" s="37" t="str">
        <f>HYPERLINK("http://www.sedek.ru/upload/iblock/ae4/tomat_tsaryek_f1.jpg","фото")</f>
        <v>фото</v>
      </c>
      <c r="C2156" s="38"/>
      <c r="D2156" s="38"/>
      <c r="E2156" s="39"/>
      <c r="F2156" s="39" t="s">
        <v>2676</v>
      </c>
      <c r="G2156" s="54">
        <v>0.05</v>
      </c>
      <c r="H2156" s="39" t="s">
        <v>101</v>
      </c>
      <c r="I2156" s="39" t="s">
        <v>102</v>
      </c>
      <c r="J2156" s="41">
        <v>5000</v>
      </c>
      <c r="K2156" s="42">
        <v>29.7</v>
      </c>
      <c r="L2156" s="43"/>
      <c r="M2156" s="43">
        <f>L2156*K2156</f>
        <v>0</v>
      </c>
      <c r="N2156" s="35">
        <v>4690368031387</v>
      </c>
    </row>
    <row r="2157" spans="1:14" ht="24" customHeight="1" outlineLevel="3" x14ac:dyDescent="0.2">
      <c r="A2157" s="36" t="s">
        <v>2677</v>
      </c>
      <c r="B2157" s="37" t="str">
        <f>HYPERLINK("http://www.sedek.ru/upload/iblock/d4d/tomat_tsaritsa_f1.jpg","фото")</f>
        <v>фото</v>
      </c>
      <c r="C2157" s="38"/>
      <c r="D2157" s="38"/>
      <c r="E2157" s="39"/>
      <c r="F2157" s="39" t="s">
        <v>2678</v>
      </c>
      <c r="G2157" s="54">
        <v>0.05</v>
      </c>
      <c r="H2157" s="39" t="s">
        <v>101</v>
      </c>
      <c r="I2157" s="39" t="s">
        <v>102</v>
      </c>
      <c r="J2157" s="41">
        <v>5000</v>
      </c>
      <c r="K2157" s="42">
        <v>39.9</v>
      </c>
      <c r="L2157" s="43"/>
      <c r="M2157" s="43">
        <f>L2157*K2157</f>
        <v>0</v>
      </c>
      <c r="N2157" s="35">
        <v>4690368031462</v>
      </c>
    </row>
    <row r="2158" spans="1:14" ht="36" customHeight="1" outlineLevel="3" x14ac:dyDescent="0.2">
      <c r="A2158" s="36" t="s">
        <v>2679</v>
      </c>
      <c r="B2158" s="37" t="str">
        <f>HYPERLINK("http://www.sedek.ru/upload/iblock/7be/013cb95r0stw0w7s6gryrx3l5bnd14an/tomat_tsilindra_malinovaya.png","фото")</f>
        <v>фото</v>
      </c>
      <c r="C2158" s="38" t="s">
        <v>266</v>
      </c>
      <c r="D2158" s="38"/>
      <c r="E2158" s="39"/>
      <c r="F2158" s="39" t="s">
        <v>2680</v>
      </c>
      <c r="G2158" s="44">
        <v>0.1</v>
      </c>
      <c r="H2158" s="39"/>
      <c r="I2158" s="39" t="s">
        <v>102</v>
      </c>
      <c r="J2158" s="41">
        <v>3000</v>
      </c>
      <c r="K2158" s="42">
        <v>31.5</v>
      </c>
      <c r="L2158" s="43"/>
      <c r="M2158" s="43">
        <f>L2158*K2158</f>
        <v>0</v>
      </c>
      <c r="N2158" s="35">
        <v>4690368043106</v>
      </c>
    </row>
    <row r="2159" spans="1:14" ht="36" customHeight="1" outlineLevel="3" x14ac:dyDescent="0.2">
      <c r="A2159" s="45">
        <v>14042</v>
      </c>
      <c r="B2159" s="37" t="str">
        <f>HYPERLINK("http://sedek.ru/upload/iblock/95b/tomat_chelnok.jpg","фото")</f>
        <v>фото</v>
      </c>
      <c r="C2159" s="38"/>
      <c r="D2159" s="38"/>
      <c r="E2159" s="39"/>
      <c r="F2159" s="39" t="s">
        <v>2681</v>
      </c>
      <c r="G2159" s="44">
        <v>0.1</v>
      </c>
      <c r="H2159" s="39" t="s">
        <v>101</v>
      </c>
      <c r="I2159" s="39" t="s">
        <v>102</v>
      </c>
      <c r="J2159" s="41">
        <v>4000</v>
      </c>
      <c r="K2159" s="42">
        <v>17.2</v>
      </c>
      <c r="L2159" s="43"/>
      <c r="M2159" s="43">
        <f>L2159*K2159</f>
        <v>0</v>
      </c>
      <c r="N2159" s="35">
        <v>4607116261828</v>
      </c>
    </row>
    <row r="2160" spans="1:14" ht="36" customHeight="1" outlineLevel="3" x14ac:dyDescent="0.2">
      <c r="A2160" s="45">
        <v>14042</v>
      </c>
      <c r="B2160" s="37" t="str">
        <f>HYPERLINK("http://sedek.ru/upload/iblock/95b/tomat_chelnok.jpg","фото")</f>
        <v>фото</v>
      </c>
      <c r="C2160" s="38"/>
      <c r="D2160" s="38"/>
      <c r="E2160" s="39"/>
      <c r="F2160" s="39" t="s">
        <v>2682</v>
      </c>
      <c r="G2160" s="44">
        <v>0.1</v>
      </c>
      <c r="H2160" s="39" t="s">
        <v>101</v>
      </c>
      <c r="I2160" s="39" t="s">
        <v>287</v>
      </c>
      <c r="J2160" s="41">
        <v>4000</v>
      </c>
      <c r="K2160" s="42">
        <v>6.8</v>
      </c>
      <c r="L2160" s="43"/>
      <c r="M2160" s="43">
        <f>L2160*K2160</f>
        <v>0</v>
      </c>
      <c r="N2160" s="35">
        <v>4690368006620</v>
      </c>
    </row>
    <row r="2161" spans="1:14" ht="36" customHeight="1" outlineLevel="3" x14ac:dyDescent="0.2">
      <c r="A2161" s="36" t="s">
        <v>2683</v>
      </c>
      <c r="B2161" s="37" t="str">
        <f>HYPERLINK("http://sedek.ru/upload/iblock/5ca/tomat_chernaya_galaktika.jpg","фото")</f>
        <v>фото</v>
      </c>
      <c r="C2161" s="38" t="s">
        <v>266</v>
      </c>
      <c r="D2161" s="38"/>
      <c r="E2161" s="39" t="s">
        <v>2452</v>
      </c>
      <c r="F2161" s="39" t="s">
        <v>2684</v>
      </c>
      <c r="G2161" s="54">
        <v>0.05</v>
      </c>
      <c r="H2161" s="39" t="s">
        <v>101</v>
      </c>
      <c r="I2161" s="39" t="s">
        <v>102</v>
      </c>
      <c r="J2161" s="41">
        <v>3000</v>
      </c>
      <c r="K2161" s="42">
        <v>46.1</v>
      </c>
      <c r="L2161" s="43"/>
      <c r="M2161" s="43">
        <f>L2161*K2161</f>
        <v>0</v>
      </c>
      <c r="N2161" s="35">
        <v>4690368039598</v>
      </c>
    </row>
    <row r="2162" spans="1:14" ht="24" customHeight="1" outlineLevel="3" x14ac:dyDescent="0.2">
      <c r="A2162" s="36" t="s">
        <v>2685</v>
      </c>
      <c r="B2162" s="37" t="str">
        <f>HYPERLINK("http://www.sedek.ru/upload/iblock/6a7/tomat_chernaya_zhemchuzhina_f1.jpg","фото")</f>
        <v>фото</v>
      </c>
      <c r="C2162" s="38"/>
      <c r="D2162" s="38"/>
      <c r="E2162" s="39" t="s">
        <v>2093</v>
      </c>
      <c r="F2162" s="39" t="s">
        <v>2686</v>
      </c>
      <c r="G2162" s="44">
        <v>0.1</v>
      </c>
      <c r="H2162" s="39" t="s">
        <v>101</v>
      </c>
      <c r="I2162" s="39" t="s">
        <v>102</v>
      </c>
      <c r="J2162" s="41">
        <v>4000</v>
      </c>
      <c r="K2162" s="42">
        <v>27.5</v>
      </c>
      <c r="L2162" s="43"/>
      <c r="M2162" s="43">
        <f>L2162*K2162</f>
        <v>0</v>
      </c>
      <c r="N2162" s="35">
        <v>4690368030786</v>
      </c>
    </row>
    <row r="2163" spans="1:14" ht="24" customHeight="1" outlineLevel="3" x14ac:dyDescent="0.2">
      <c r="A2163" s="55" t="s">
        <v>2687</v>
      </c>
      <c r="B2163" s="47" t="str">
        <f>HYPERLINK("http://www.sedek.ru/upload/iblock/13a/9eq9lslusm6kyag3qc1gr09osrdjklgr/tomat_chernoe_kruzhevo_f1.png","фото")</f>
        <v>фото</v>
      </c>
      <c r="C2163" s="48"/>
      <c r="D2163" s="48"/>
      <c r="E2163" s="49" t="s">
        <v>2093</v>
      </c>
      <c r="F2163" s="49" t="s">
        <v>2688</v>
      </c>
      <c r="G2163" s="56">
        <v>0.1</v>
      </c>
      <c r="H2163" s="49"/>
      <c r="I2163" s="49" t="s">
        <v>102</v>
      </c>
      <c r="J2163" s="51">
        <v>4000</v>
      </c>
      <c r="K2163" s="52">
        <v>18.5</v>
      </c>
      <c r="L2163" s="53"/>
      <c r="M2163" s="53">
        <f>L2163*K2163</f>
        <v>0</v>
      </c>
      <c r="N2163" s="35">
        <v>4690368038850</v>
      </c>
    </row>
    <row r="2164" spans="1:14" ht="36" customHeight="1" outlineLevel="3" x14ac:dyDescent="0.2">
      <c r="A2164" s="45">
        <v>15980</v>
      </c>
      <c r="B2164" s="37" t="str">
        <f>HYPERLINK("http://sedek.ru/upload/iblock/ad1/tomat_chernomor.jpg","фото")</f>
        <v>фото</v>
      </c>
      <c r="C2164" s="38"/>
      <c r="D2164" s="38"/>
      <c r="E2164" s="39"/>
      <c r="F2164" s="39" t="s">
        <v>2689</v>
      </c>
      <c r="G2164" s="44">
        <v>0.1</v>
      </c>
      <c r="H2164" s="39" t="s">
        <v>101</v>
      </c>
      <c r="I2164" s="39" t="s">
        <v>102</v>
      </c>
      <c r="J2164" s="41">
        <v>4000</v>
      </c>
      <c r="K2164" s="42">
        <v>19.7</v>
      </c>
      <c r="L2164" s="43"/>
      <c r="M2164" s="43">
        <f>L2164*K2164</f>
        <v>0</v>
      </c>
      <c r="N2164" s="35">
        <v>4607116261835</v>
      </c>
    </row>
    <row r="2165" spans="1:14" ht="36" customHeight="1" outlineLevel="3" x14ac:dyDescent="0.2">
      <c r="A2165" s="36" t="s">
        <v>2690</v>
      </c>
      <c r="B2165" s="37" t="str">
        <f>HYPERLINK("http://www.sedek.ru/upload/iblock/23e/siuucce64xgohofae2ec0276n9mgk3lo/tomat_chernyy_vernisazh.png","фото")</f>
        <v>фото</v>
      </c>
      <c r="C2165" s="38" t="s">
        <v>266</v>
      </c>
      <c r="D2165" s="38" t="s">
        <v>266</v>
      </c>
      <c r="E2165" s="39" t="s">
        <v>2093</v>
      </c>
      <c r="F2165" s="39" t="s">
        <v>2691</v>
      </c>
      <c r="G2165" s="44">
        <v>0.1</v>
      </c>
      <c r="H2165" s="39"/>
      <c r="I2165" s="39" t="s">
        <v>102</v>
      </c>
      <c r="J2165" s="41">
        <v>3000</v>
      </c>
      <c r="K2165" s="42">
        <v>37.1</v>
      </c>
      <c r="L2165" s="43"/>
      <c r="M2165" s="43">
        <f>L2165*K2165</f>
        <v>0</v>
      </c>
      <c r="N2165" s="35">
        <v>4690368043137</v>
      </c>
    </row>
    <row r="2166" spans="1:14" ht="24" customHeight="1" outlineLevel="3" x14ac:dyDescent="0.2">
      <c r="A2166" s="36" t="s">
        <v>2692</v>
      </c>
      <c r="B2166" s="37" t="str">
        <f>HYPERLINK("http://www.sedek.ru/upload/iblock/750/279kbwwcnm4nfbiu3n156d4ussbtf9by/tomat_chernyy_zulus.png","фото")</f>
        <v>фото</v>
      </c>
      <c r="C2166" s="38" t="s">
        <v>266</v>
      </c>
      <c r="D2166" s="38"/>
      <c r="E2166" s="39" t="s">
        <v>2093</v>
      </c>
      <c r="F2166" s="39" t="s">
        <v>2693</v>
      </c>
      <c r="G2166" s="44">
        <v>0.1</v>
      </c>
      <c r="H2166" s="39" t="s">
        <v>101</v>
      </c>
      <c r="I2166" s="39" t="s">
        <v>102</v>
      </c>
      <c r="J2166" s="41">
        <v>3000</v>
      </c>
      <c r="K2166" s="42">
        <v>46.1</v>
      </c>
      <c r="L2166" s="43"/>
      <c r="M2166" s="43">
        <f>L2166*K2166</f>
        <v>0</v>
      </c>
      <c r="N2166" s="35">
        <v>4690368039529</v>
      </c>
    </row>
    <row r="2167" spans="1:14" ht="36" customHeight="1" outlineLevel="3" x14ac:dyDescent="0.2">
      <c r="A2167" s="36" t="s">
        <v>2694</v>
      </c>
      <c r="B2167" s="37" t="str">
        <f>HYPERLINK("http://www.sedek.ru/upload/iblock/840/euq9y14ri81hua0v3uh8g2chvu01eodw/tomat_chernyy_iz_tekhasa.png","фото")</f>
        <v>фото</v>
      </c>
      <c r="C2167" s="38"/>
      <c r="D2167" s="38"/>
      <c r="E2167" s="39" t="s">
        <v>2093</v>
      </c>
      <c r="F2167" s="39" t="s">
        <v>2695</v>
      </c>
      <c r="G2167" s="44">
        <v>0.1</v>
      </c>
      <c r="H2167" s="39"/>
      <c r="I2167" s="39" t="s">
        <v>102</v>
      </c>
      <c r="J2167" s="41">
        <v>4000</v>
      </c>
      <c r="K2167" s="42">
        <v>43.9</v>
      </c>
      <c r="L2167" s="43"/>
      <c r="M2167" s="43">
        <f>L2167*K2167</f>
        <v>0</v>
      </c>
      <c r="N2167" s="35">
        <v>4690368037792</v>
      </c>
    </row>
    <row r="2168" spans="1:14" ht="36" customHeight="1" outlineLevel="3" x14ac:dyDescent="0.2">
      <c r="A2168" s="36" t="s">
        <v>2696</v>
      </c>
      <c r="B2168" s="37" t="str">
        <f>HYPERLINK("http://www.sedek.ru/upload/iblock/3a9/d46iki31mrk3mhzxos2scyn9fcpuspsm/tomat_chernyy_krymskiy.png","фото")</f>
        <v>фото</v>
      </c>
      <c r="C2168" s="38" t="s">
        <v>266</v>
      </c>
      <c r="D2168" s="38"/>
      <c r="E2168" s="39" t="s">
        <v>2093</v>
      </c>
      <c r="F2168" s="39" t="s">
        <v>2697</v>
      </c>
      <c r="G2168" s="44">
        <v>0.1</v>
      </c>
      <c r="H2168" s="39" t="s">
        <v>101</v>
      </c>
      <c r="I2168" s="39" t="s">
        <v>102</v>
      </c>
      <c r="J2168" s="41">
        <v>4000</v>
      </c>
      <c r="K2168" s="42">
        <v>26.6</v>
      </c>
      <c r="L2168" s="43"/>
      <c r="M2168" s="43">
        <f>L2168*K2168</f>
        <v>0</v>
      </c>
      <c r="N2168" s="35">
        <v>4690368036368</v>
      </c>
    </row>
    <row r="2169" spans="1:14" ht="36" customHeight="1" outlineLevel="3" x14ac:dyDescent="0.2">
      <c r="A2169" s="46">
        <v>15573</v>
      </c>
      <c r="B2169" s="47" t="str">
        <f>HYPERLINK("http://sedek.ru/upload/iblock/dc1/tomat_chyernyy_mavr.jpg","фото")</f>
        <v>фото</v>
      </c>
      <c r="C2169" s="48"/>
      <c r="D2169" s="48"/>
      <c r="E2169" s="49" t="s">
        <v>2093</v>
      </c>
      <c r="F2169" s="49" t="s">
        <v>2698</v>
      </c>
      <c r="G2169" s="56">
        <v>0.1</v>
      </c>
      <c r="H2169" s="49" t="s">
        <v>101</v>
      </c>
      <c r="I2169" s="49" t="s">
        <v>102</v>
      </c>
      <c r="J2169" s="51">
        <v>4000</v>
      </c>
      <c r="K2169" s="52">
        <v>15.6</v>
      </c>
      <c r="L2169" s="53"/>
      <c r="M2169" s="53">
        <f>L2169*K2169</f>
        <v>0</v>
      </c>
      <c r="N2169" s="35">
        <v>4607116261842</v>
      </c>
    </row>
    <row r="2170" spans="1:14" ht="36" customHeight="1" outlineLevel="3" x14ac:dyDescent="0.2">
      <c r="A2170" s="71">
        <v>15573</v>
      </c>
      <c r="B2170" s="72" t="str">
        <f>HYPERLINK("http://sedek.ru/upload/iblock/dc1/tomat_chyernyy_mavr.jpg","фото")</f>
        <v>фото</v>
      </c>
      <c r="C2170" s="73"/>
      <c r="D2170" s="73"/>
      <c r="E2170" s="74" t="s">
        <v>2093</v>
      </c>
      <c r="F2170" s="74" t="s">
        <v>2699</v>
      </c>
      <c r="G2170" s="80">
        <v>0.1</v>
      </c>
      <c r="H2170" s="74" t="s">
        <v>101</v>
      </c>
      <c r="I2170" s="74" t="s">
        <v>287</v>
      </c>
      <c r="J2170" s="76">
        <v>4000</v>
      </c>
      <c r="K2170" s="77">
        <v>7.4</v>
      </c>
      <c r="L2170" s="78"/>
      <c r="M2170" s="78">
        <f>L2170*K2170</f>
        <v>0</v>
      </c>
      <c r="N2170" s="79">
        <v>4690368005562</v>
      </c>
    </row>
    <row r="2171" spans="1:14" ht="36" customHeight="1" outlineLevel="3" x14ac:dyDescent="0.2">
      <c r="A2171" s="45">
        <v>13979</v>
      </c>
      <c r="B2171" s="37" t="str">
        <f>HYPERLINK("http://www.sedek.ru/upload/iblock/5b2/tomat_chernyy_prints.jpg","фото")</f>
        <v>фото</v>
      </c>
      <c r="C2171" s="38"/>
      <c r="D2171" s="38"/>
      <c r="E2171" s="39" t="s">
        <v>2093</v>
      </c>
      <c r="F2171" s="39" t="s">
        <v>2700</v>
      </c>
      <c r="G2171" s="44">
        <v>0.1</v>
      </c>
      <c r="H2171" s="39" t="s">
        <v>101</v>
      </c>
      <c r="I2171" s="39" t="s">
        <v>102</v>
      </c>
      <c r="J2171" s="41">
        <v>4000</v>
      </c>
      <c r="K2171" s="42">
        <v>20.100000000000001</v>
      </c>
      <c r="L2171" s="43"/>
      <c r="M2171" s="43">
        <f>L2171*K2171</f>
        <v>0</v>
      </c>
      <c r="N2171" s="35">
        <v>4607116261859</v>
      </c>
    </row>
    <row r="2172" spans="1:14" ht="36" customHeight="1" outlineLevel="3" x14ac:dyDescent="0.2">
      <c r="A2172" s="36" t="s">
        <v>2701</v>
      </c>
      <c r="B2172" s="37" t="str">
        <f>HYPERLINK("http://www.sedek.ru/upload/iblock/2e1/tomat_cherri_so_slivkami_f1.jpg","фото")</f>
        <v>фото</v>
      </c>
      <c r="C2172" s="38"/>
      <c r="D2172" s="38"/>
      <c r="E2172" s="39"/>
      <c r="F2172" s="39" t="s">
        <v>2702</v>
      </c>
      <c r="G2172" s="54">
        <v>0.05</v>
      </c>
      <c r="H2172" s="39" t="s">
        <v>101</v>
      </c>
      <c r="I2172" s="39" t="s">
        <v>102</v>
      </c>
      <c r="J2172" s="41">
        <v>5000</v>
      </c>
      <c r="K2172" s="42">
        <v>29.5</v>
      </c>
      <c r="L2172" s="43"/>
      <c r="M2172" s="43">
        <f>L2172*K2172</f>
        <v>0</v>
      </c>
      <c r="N2172" s="35">
        <v>4690368026413</v>
      </c>
    </row>
    <row r="2173" spans="1:14" ht="36" customHeight="1" outlineLevel="3" x14ac:dyDescent="0.2">
      <c r="A2173" s="45">
        <v>13577</v>
      </c>
      <c r="B2173" s="37" t="str">
        <f>HYPERLINK("http://sedek.ru/upload/iblock/bcc/tomat_chibis.jpg","фото")</f>
        <v>фото</v>
      </c>
      <c r="C2173" s="38"/>
      <c r="D2173" s="38"/>
      <c r="E2173" s="39"/>
      <c r="F2173" s="39" t="s">
        <v>2703</v>
      </c>
      <c r="G2173" s="44">
        <v>0.1</v>
      </c>
      <c r="H2173" s="39" t="s">
        <v>101</v>
      </c>
      <c r="I2173" s="39" t="s">
        <v>102</v>
      </c>
      <c r="J2173" s="41">
        <v>4000</v>
      </c>
      <c r="K2173" s="42">
        <v>19.100000000000001</v>
      </c>
      <c r="L2173" s="43"/>
      <c r="M2173" s="43">
        <f>L2173*K2173</f>
        <v>0</v>
      </c>
      <c r="N2173" s="35">
        <v>4607116261866</v>
      </c>
    </row>
    <row r="2174" spans="1:14" ht="36" customHeight="1" outlineLevel="3" x14ac:dyDescent="0.2">
      <c r="A2174" s="45">
        <v>13623</v>
      </c>
      <c r="B2174" s="37" t="str">
        <f>HYPERLINK("http://sedek.ru/upload/iblock/67a/tomat_chudo_posola.jpg","фото")</f>
        <v>фото</v>
      </c>
      <c r="C2174" s="38"/>
      <c r="D2174" s="38" t="s">
        <v>266</v>
      </c>
      <c r="E2174" s="39"/>
      <c r="F2174" s="39" t="s">
        <v>2704</v>
      </c>
      <c r="G2174" s="44">
        <v>0.2</v>
      </c>
      <c r="H2174" s="39" t="s">
        <v>101</v>
      </c>
      <c r="I2174" s="39" t="s">
        <v>102</v>
      </c>
      <c r="J2174" s="41">
        <v>3000</v>
      </c>
      <c r="K2174" s="42">
        <v>19.100000000000001</v>
      </c>
      <c r="L2174" s="43"/>
      <c r="M2174" s="43">
        <f>L2174*K2174</f>
        <v>0</v>
      </c>
      <c r="N2174" s="35">
        <v>4690368006026</v>
      </c>
    </row>
    <row r="2175" spans="1:14" ht="24" customHeight="1" outlineLevel="3" x14ac:dyDescent="0.2">
      <c r="A2175" s="45">
        <v>13604</v>
      </c>
      <c r="B2175" s="37" t="str">
        <f>HYPERLINK("http://sedek.ru/upload/iblock/a0f/tomat_chudo_rynka.JPG","фото")</f>
        <v>фото</v>
      </c>
      <c r="C2175" s="38"/>
      <c r="D2175" s="38"/>
      <c r="E2175" s="39"/>
      <c r="F2175" s="39" t="s">
        <v>2705</v>
      </c>
      <c r="G2175" s="44">
        <v>0.1</v>
      </c>
      <c r="H2175" s="39" t="s">
        <v>101</v>
      </c>
      <c r="I2175" s="39" t="s">
        <v>102</v>
      </c>
      <c r="J2175" s="41">
        <v>4000</v>
      </c>
      <c r="K2175" s="42">
        <v>21.9</v>
      </c>
      <c r="L2175" s="43"/>
      <c r="M2175" s="43">
        <f>L2175*K2175</f>
        <v>0</v>
      </c>
      <c r="N2175" s="35">
        <v>4607116261873</v>
      </c>
    </row>
    <row r="2176" spans="1:14" ht="24" customHeight="1" outlineLevel="3" x14ac:dyDescent="0.2">
      <c r="A2176" s="36" t="s">
        <v>2706</v>
      </c>
      <c r="B2176" s="37" t="str">
        <f>HYPERLINK("http://sedek.ru/upload/iblock/3a9/tomat_shans_f1.jpg","фото")</f>
        <v>фото</v>
      </c>
      <c r="C2176" s="38"/>
      <c r="D2176" s="38" t="s">
        <v>266</v>
      </c>
      <c r="E2176" s="39"/>
      <c r="F2176" s="39" t="s">
        <v>2707</v>
      </c>
      <c r="G2176" s="54">
        <v>0.05</v>
      </c>
      <c r="H2176" s="39" t="s">
        <v>101</v>
      </c>
      <c r="I2176" s="39" t="s">
        <v>102</v>
      </c>
      <c r="J2176" s="41">
        <v>5000</v>
      </c>
      <c r="K2176" s="42">
        <v>22.7</v>
      </c>
      <c r="L2176" s="43"/>
      <c r="M2176" s="43">
        <f>L2176*K2176</f>
        <v>0</v>
      </c>
      <c r="N2176" s="35">
        <v>4607116261880</v>
      </c>
    </row>
    <row r="2177" spans="1:14" ht="36" customHeight="1" outlineLevel="3" x14ac:dyDescent="0.2">
      <c r="A2177" s="45">
        <v>14344</v>
      </c>
      <c r="B2177" s="37" t="str">
        <f>HYPERLINK("http://sedek.ru/upload/iblock/5a7/tomat_shokoladka_f1.jpg","фото")</f>
        <v>фото</v>
      </c>
      <c r="C2177" s="38"/>
      <c r="D2177" s="38"/>
      <c r="E2177" s="39" t="s">
        <v>2093</v>
      </c>
      <c r="F2177" s="39" t="s">
        <v>2708</v>
      </c>
      <c r="G2177" s="54">
        <v>0.03</v>
      </c>
      <c r="H2177" s="39" t="s">
        <v>101</v>
      </c>
      <c r="I2177" s="39" t="s">
        <v>102</v>
      </c>
      <c r="J2177" s="41">
        <v>5000</v>
      </c>
      <c r="K2177" s="42">
        <v>68.5</v>
      </c>
      <c r="L2177" s="43"/>
      <c r="M2177" s="43">
        <f>L2177*K2177</f>
        <v>0</v>
      </c>
      <c r="N2177" s="35">
        <v>4690368000345</v>
      </c>
    </row>
    <row r="2178" spans="1:14" ht="24" customHeight="1" outlineLevel="3" x14ac:dyDescent="0.2">
      <c r="A2178" s="36" t="s">
        <v>2709</v>
      </c>
      <c r="B2178" s="37" t="str">
        <f>HYPERLINK("http://www.sedek.ru/upload/iblock/300/1ujj6473qrjd614ap6okopcy0cj868py/tomat_shokoladnyy_slon.png","фото")</f>
        <v>фото</v>
      </c>
      <c r="C2178" s="38" t="s">
        <v>266</v>
      </c>
      <c r="D2178" s="38"/>
      <c r="E2178" s="39" t="s">
        <v>2093</v>
      </c>
      <c r="F2178" s="39" t="s">
        <v>2710</v>
      </c>
      <c r="G2178" s="44">
        <v>0.1</v>
      </c>
      <c r="H2178" s="39"/>
      <c r="I2178" s="39" t="s">
        <v>102</v>
      </c>
      <c r="J2178" s="41">
        <v>5000</v>
      </c>
      <c r="K2178" s="42">
        <v>46.1</v>
      </c>
      <c r="L2178" s="43"/>
      <c r="M2178" s="43">
        <f>L2178*K2178</f>
        <v>0</v>
      </c>
      <c r="N2178" s="35">
        <v>4690368043007</v>
      </c>
    </row>
    <row r="2179" spans="1:14" ht="36" customHeight="1" outlineLevel="3" x14ac:dyDescent="0.2">
      <c r="A2179" s="36" t="s">
        <v>2711</v>
      </c>
      <c r="B2179" s="37" t="str">
        <f>HYPERLINK("http://www.sedek.ru/upload/iblock/fb3/0qj2gip6onq3h6zoq7r2nqxwv7h4pddh/tomat_shokoladobif.png","фото")</f>
        <v>фото</v>
      </c>
      <c r="C2179" s="38" t="s">
        <v>266</v>
      </c>
      <c r="D2179" s="38" t="s">
        <v>266</v>
      </c>
      <c r="E2179" s="39" t="s">
        <v>2093</v>
      </c>
      <c r="F2179" s="39" t="s">
        <v>2712</v>
      </c>
      <c r="G2179" s="44">
        <v>0.1</v>
      </c>
      <c r="H2179" s="39"/>
      <c r="I2179" s="39" t="s">
        <v>102</v>
      </c>
      <c r="J2179" s="41">
        <v>3000</v>
      </c>
      <c r="K2179" s="42">
        <v>46.1</v>
      </c>
      <c r="L2179" s="43"/>
      <c r="M2179" s="43">
        <f>L2179*K2179</f>
        <v>0</v>
      </c>
      <c r="N2179" s="35">
        <v>4690368043083</v>
      </c>
    </row>
    <row r="2180" spans="1:14" ht="36" customHeight="1" outlineLevel="3" x14ac:dyDescent="0.2">
      <c r="A2180" s="36" t="s">
        <v>2713</v>
      </c>
      <c r="B2180" s="37" t="str">
        <f>HYPERLINK("http://www.sedek.ru/upload/iblock/396/ykxbo2f81bmsynjvrzg94w29wm5ohc6c/tomat_shokoladoboy.png","фото")</f>
        <v>фото</v>
      </c>
      <c r="C2180" s="38" t="s">
        <v>266</v>
      </c>
      <c r="D2180" s="38"/>
      <c r="E2180" s="39" t="s">
        <v>2093</v>
      </c>
      <c r="F2180" s="39" t="s">
        <v>2714</v>
      </c>
      <c r="G2180" s="44">
        <v>0.1</v>
      </c>
      <c r="H2180" s="39"/>
      <c r="I2180" s="39" t="s">
        <v>102</v>
      </c>
      <c r="J2180" s="41">
        <v>3000</v>
      </c>
      <c r="K2180" s="42">
        <v>37.1</v>
      </c>
      <c r="L2180" s="43"/>
      <c r="M2180" s="43">
        <f>L2180*K2180</f>
        <v>0</v>
      </c>
      <c r="N2180" s="35">
        <v>4690368043090</v>
      </c>
    </row>
    <row r="2181" spans="1:14" ht="36" customHeight="1" outlineLevel="3" x14ac:dyDescent="0.2">
      <c r="A2181" s="45">
        <v>14411</v>
      </c>
      <c r="B2181" s="37" t="str">
        <f>HYPERLINK("http://sedek.ru/upload/iblock/095/tomat_elton_dzhon_f1.jpg","фото")</f>
        <v>фото</v>
      </c>
      <c r="C2181" s="38"/>
      <c r="D2181" s="38"/>
      <c r="E2181" s="39"/>
      <c r="F2181" s="39" t="s">
        <v>2715</v>
      </c>
      <c r="G2181" s="44">
        <v>0.1</v>
      </c>
      <c r="H2181" s="39" t="s">
        <v>101</v>
      </c>
      <c r="I2181" s="39" t="s">
        <v>102</v>
      </c>
      <c r="J2181" s="41">
        <v>4000</v>
      </c>
      <c r="K2181" s="42">
        <v>22.7</v>
      </c>
      <c r="L2181" s="43"/>
      <c r="M2181" s="43">
        <f>L2181*K2181</f>
        <v>0</v>
      </c>
      <c r="N2181" s="35">
        <v>4607015185676</v>
      </c>
    </row>
    <row r="2182" spans="1:14" ht="36" customHeight="1" outlineLevel="3" x14ac:dyDescent="0.2">
      <c r="A2182" s="45">
        <v>14457</v>
      </c>
      <c r="B2182" s="37" t="str">
        <f>HYPERLINK("http://sedek.ru/upload/iblock/2ac/tomat_yubileynyy_tarasenko.jpg","фото")</f>
        <v>фото</v>
      </c>
      <c r="C2182" s="38"/>
      <c r="D2182" s="38"/>
      <c r="E2182" s="39"/>
      <c r="F2182" s="39" t="s">
        <v>2716</v>
      </c>
      <c r="G2182" s="44">
        <v>0.1</v>
      </c>
      <c r="H2182" s="39" t="s">
        <v>101</v>
      </c>
      <c r="I2182" s="39" t="s">
        <v>102</v>
      </c>
      <c r="J2182" s="41">
        <v>3000</v>
      </c>
      <c r="K2182" s="42">
        <v>18.8</v>
      </c>
      <c r="L2182" s="43"/>
      <c r="M2182" s="43">
        <f>L2182*K2182</f>
        <v>0</v>
      </c>
      <c r="N2182" s="35">
        <v>4607116261941</v>
      </c>
    </row>
    <row r="2183" spans="1:14" ht="36" customHeight="1" outlineLevel="3" x14ac:dyDescent="0.2">
      <c r="A2183" s="36" t="s">
        <v>2717</v>
      </c>
      <c r="B2183" s="37" t="str">
        <f>HYPERLINK("http://sedek.ru/upload/iblock/48e/tomat_yuzhnaya_krasavitsa_f1.jpg","фото")</f>
        <v>фото</v>
      </c>
      <c r="C2183" s="38"/>
      <c r="D2183" s="38" t="s">
        <v>266</v>
      </c>
      <c r="E2183" s="39"/>
      <c r="F2183" s="39" t="s">
        <v>2718</v>
      </c>
      <c r="G2183" s="54">
        <v>0.03</v>
      </c>
      <c r="H2183" s="39" t="s">
        <v>101</v>
      </c>
      <c r="I2183" s="39" t="s">
        <v>102</v>
      </c>
      <c r="J2183" s="41">
        <v>5000</v>
      </c>
      <c r="K2183" s="42">
        <v>44.5</v>
      </c>
      <c r="L2183" s="43"/>
      <c r="M2183" s="43">
        <f>L2183*K2183</f>
        <v>0</v>
      </c>
      <c r="N2183" s="35">
        <v>4690368026680</v>
      </c>
    </row>
    <row r="2184" spans="1:14" ht="36" customHeight="1" outlineLevel="3" x14ac:dyDescent="0.2">
      <c r="A2184" s="45">
        <v>15693</v>
      </c>
      <c r="B2184" s="37" t="str">
        <f>HYPERLINK("http://www.sedek.ru/upload/iblock/bbf/tomat_yablonka_rossii.jpg","фото")</f>
        <v>фото</v>
      </c>
      <c r="C2184" s="38"/>
      <c r="D2184" s="38"/>
      <c r="E2184" s="39"/>
      <c r="F2184" s="39" t="s">
        <v>2719</v>
      </c>
      <c r="G2184" s="44">
        <v>0.1</v>
      </c>
      <c r="H2184" s="39" t="s">
        <v>101</v>
      </c>
      <c r="I2184" s="39" t="s">
        <v>102</v>
      </c>
      <c r="J2184" s="41">
        <v>4000</v>
      </c>
      <c r="K2184" s="42">
        <v>17.2</v>
      </c>
      <c r="L2184" s="43"/>
      <c r="M2184" s="43">
        <f>L2184*K2184</f>
        <v>0</v>
      </c>
      <c r="N2184" s="35">
        <v>4607116261965</v>
      </c>
    </row>
    <row r="2185" spans="1:14" ht="36" customHeight="1" outlineLevel="3" x14ac:dyDescent="0.2">
      <c r="A2185" s="45">
        <v>15693</v>
      </c>
      <c r="B2185" s="37" t="str">
        <f>HYPERLINK("http://www.sedek.ru/upload/iblock/bbf/tomat_yablonka_rossii.jpg","фото")</f>
        <v>фото</v>
      </c>
      <c r="C2185" s="38"/>
      <c r="D2185" s="38"/>
      <c r="E2185" s="39"/>
      <c r="F2185" s="39" t="s">
        <v>2720</v>
      </c>
      <c r="G2185" s="44">
        <v>0.1</v>
      </c>
      <c r="H2185" s="39" t="s">
        <v>101</v>
      </c>
      <c r="I2185" s="39" t="s">
        <v>287</v>
      </c>
      <c r="J2185" s="41">
        <v>4000</v>
      </c>
      <c r="K2185" s="42">
        <v>7.3</v>
      </c>
      <c r="L2185" s="43"/>
      <c r="M2185" s="43">
        <f>L2185*K2185</f>
        <v>0</v>
      </c>
      <c r="N2185" s="35">
        <v>4690368013697</v>
      </c>
    </row>
    <row r="2186" spans="1:14" ht="36" customHeight="1" outlineLevel="3" x14ac:dyDescent="0.2">
      <c r="A2186" s="45">
        <v>29299</v>
      </c>
      <c r="B2186" s="37" t="str">
        <f>HYPERLINK("http://www.sedek.ru/upload/iblock/767/tomat_yamal_200.jpg","Фото")</f>
        <v>Фото</v>
      </c>
      <c r="C2186" s="38"/>
      <c r="D2186" s="38" t="s">
        <v>266</v>
      </c>
      <c r="E2186" s="39"/>
      <c r="F2186" s="39" t="s">
        <v>2721</v>
      </c>
      <c r="G2186" s="44">
        <v>0.1</v>
      </c>
      <c r="H2186" s="39" t="s">
        <v>101</v>
      </c>
      <c r="I2186" s="39" t="s">
        <v>102</v>
      </c>
      <c r="J2186" s="41">
        <v>4000</v>
      </c>
      <c r="K2186" s="42">
        <v>18.8</v>
      </c>
      <c r="L2186" s="43"/>
      <c r="M2186" s="43">
        <f>L2186*K2186</f>
        <v>0</v>
      </c>
      <c r="N2186" s="35">
        <v>4690368024167</v>
      </c>
    </row>
    <row r="2187" spans="1:14" ht="36" customHeight="1" outlineLevel="3" x14ac:dyDescent="0.2">
      <c r="A2187" s="45">
        <v>14333</v>
      </c>
      <c r="B2187" s="37" t="str">
        <f>HYPERLINK("http://www.sedek.ru/upload/iblock/d81/tomat_yamal.jpg","фото")</f>
        <v>фото</v>
      </c>
      <c r="C2187" s="38"/>
      <c r="D2187" s="38"/>
      <c r="E2187" s="39" t="s">
        <v>2090</v>
      </c>
      <c r="F2187" s="39" t="s">
        <v>2722</v>
      </c>
      <c r="G2187" s="44">
        <v>0.1</v>
      </c>
      <c r="H2187" s="39" t="s">
        <v>101</v>
      </c>
      <c r="I2187" s="39" t="s">
        <v>102</v>
      </c>
      <c r="J2187" s="41">
        <v>4000</v>
      </c>
      <c r="K2187" s="42">
        <v>18.8</v>
      </c>
      <c r="L2187" s="43"/>
      <c r="M2187" s="43">
        <f>L2187*K2187</f>
        <v>0</v>
      </c>
      <c r="N2187" s="35">
        <v>4607116262009</v>
      </c>
    </row>
    <row r="2188" spans="1:14" ht="36" customHeight="1" outlineLevel="3" x14ac:dyDescent="0.2">
      <c r="A2188" s="36" t="s">
        <v>2723</v>
      </c>
      <c r="B2188" s="37" t="str">
        <f>HYPERLINK("http://www.sedek.ru/upload/iblock/82a/6yol5fyn15pmomkmuu1ouizhfmz036ci/tomat_yantarnaya_galaktika.png","фото")</f>
        <v>фото</v>
      </c>
      <c r="C2188" s="38" t="s">
        <v>266</v>
      </c>
      <c r="D2188" s="38"/>
      <c r="E2188" s="39" t="s">
        <v>2452</v>
      </c>
      <c r="F2188" s="39" t="s">
        <v>2724</v>
      </c>
      <c r="G2188" s="44">
        <v>0.1</v>
      </c>
      <c r="H2188" s="39"/>
      <c r="I2188" s="39" t="s">
        <v>102</v>
      </c>
      <c r="J2188" s="41">
        <v>3000</v>
      </c>
      <c r="K2188" s="42">
        <v>37.1</v>
      </c>
      <c r="L2188" s="43"/>
      <c r="M2188" s="43">
        <f>L2188*K2188</f>
        <v>0</v>
      </c>
      <c r="N2188" s="35">
        <v>4690368043144</v>
      </c>
    </row>
    <row r="2189" spans="1:14" ht="36" customHeight="1" outlineLevel="3" x14ac:dyDescent="0.2">
      <c r="A2189" s="45">
        <v>16130</v>
      </c>
      <c r="B2189" s="37" t="str">
        <f>HYPERLINK("http://sedek.ru/upload/iblock/bba/tomat_yantarnyy_530.jpg","фото")</f>
        <v>фото</v>
      </c>
      <c r="C2189" s="38"/>
      <c r="D2189" s="38" t="s">
        <v>266</v>
      </c>
      <c r="E2189" s="39" t="s">
        <v>2090</v>
      </c>
      <c r="F2189" s="39" t="s">
        <v>2725</v>
      </c>
      <c r="G2189" s="44">
        <v>0.3</v>
      </c>
      <c r="H2189" s="39" t="s">
        <v>101</v>
      </c>
      <c r="I2189" s="39" t="s">
        <v>102</v>
      </c>
      <c r="J2189" s="41">
        <v>3000</v>
      </c>
      <c r="K2189" s="42">
        <v>20.5</v>
      </c>
      <c r="L2189" s="43"/>
      <c r="M2189" s="43">
        <f>L2189*K2189</f>
        <v>0</v>
      </c>
      <c r="N2189" s="35">
        <v>4607116262016</v>
      </c>
    </row>
    <row r="2190" spans="1:14" ht="12" customHeight="1" outlineLevel="2" x14ac:dyDescent="0.2">
      <c r="A2190" s="22"/>
      <c r="B2190" s="23"/>
      <c r="C2190" s="23"/>
      <c r="D2190" s="23"/>
      <c r="E2190" s="24"/>
      <c r="F2190" s="24" t="s">
        <v>2726</v>
      </c>
      <c r="G2190" s="24"/>
      <c r="H2190" s="24"/>
      <c r="I2190" s="24"/>
      <c r="J2190" s="24"/>
      <c r="K2190" s="24"/>
      <c r="L2190" s="24"/>
      <c r="M2190" s="24"/>
      <c r="N2190" s="25"/>
    </row>
    <row r="2191" spans="1:14" ht="36" customHeight="1" outlineLevel="3" x14ac:dyDescent="0.2">
      <c r="A2191" s="36" t="s">
        <v>2727</v>
      </c>
      <c r="B2191" s="37" t="str">
        <f>HYPERLINK("http://sedek.ru/upload/iblock/00b/trava_dlya_koshek.jpg","фото")</f>
        <v>фото</v>
      </c>
      <c r="C2191" s="38"/>
      <c r="D2191" s="38"/>
      <c r="E2191" s="39"/>
      <c r="F2191" s="39" t="s">
        <v>2728</v>
      </c>
      <c r="G2191" s="40">
        <v>10</v>
      </c>
      <c r="H2191" s="39" t="s">
        <v>101</v>
      </c>
      <c r="I2191" s="39" t="s">
        <v>102</v>
      </c>
      <c r="J2191" s="40">
        <v>300</v>
      </c>
      <c r="K2191" s="42">
        <v>21.4</v>
      </c>
      <c r="L2191" s="43"/>
      <c r="M2191" s="43">
        <f>L2191*K2191</f>
        <v>0</v>
      </c>
      <c r="N2191" s="35">
        <v>4690368027984</v>
      </c>
    </row>
    <row r="2192" spans="1:14" ht="36" customHeight="1" outlineLevel="3" x14ac:dyDescent="0.2">
      <c r="A2192" s="36" t="s">
        <v>2729</v>
      </c>
      <c r="B2192" s="37" t="str">
        <f>HYPERLINK("http://sedek.ru/upload/iblock/1b8/trava_dlya_pernatykh.jpg","фото")</f>
        <v>фото</v>
      </c>
      <c r="C2192" s="38"/>
      <c r="D2192" s="38"/>
      <c r="E2192" s="39"/>
      <c r="F2192" s="39" t="s">
        <v>2730</v>
      </c>
      <c r="G2192" s="40">
        <v>10</v>
      </c>
      <c r="H2192" s="39" t="s">
        <v>101</v>
      </c>
      <c r="I2192" s="39" t="s">
        <v>102</v>
      </c>
      <c r="J2192" s="40">
        <v>300</v>
      </c>
      <c r="K2192" s="42">
        <v>21.4</v>
      </c>
      <c r="L2192" s="43"/>
      <c r="M2192" s="43">
        <f>L2192*K2192</f>
        <v>0</v>
      </c>
      <c r="N2192" s="35">
        <v>4690368027991</v>
      </c>
    </row>
    <row r="2193" spans="1:14" ht="12" customHeight="1" outlineLevel="2" x14ac:dyDescent="0.2">
      <c r="A2193" s="22"/>
      <c r="B2193" s="23"/>
      <c r="C2193" s="23"/>
      <c r="D2193" s="23"/>
      <c r="E2193" s="24"/>
      <c r="F2193" s="24" t="s">
        <v>2731</v>
      </c>
      <c r="G2193" s="24"/>
      <c r="H2193" s="24"/>
      <c r="I2193" s="24"/>
      <c r="J2193" s="24"/>
      <c r="K2193" s="24"/>
      <c r="L2193" s="24"/>
      <c r="M2193" s="24"/>
      <c r="N2193" s="25"/>
    </row>
    <row r="2194" spans="1:14" ht="36" customHeight="1" outlineLevel="3" x14ac:dyDescent="0.2">
      <c r="A2194" s="36" t="s">
        <v>2732</v>
      </c>
      <c r="B2194" s="37" t="str">
        <f>HYPERLINK("http://www.sedek.ru/upload/iblock/d4f/tykva_adazhio.jpg","фото")</f>
        <v>фото</v>
      </c>
      <c r="C2194" s="38"/>
      <c r="D2194" s="38"/>
      <c r="E2194" s="39"/>
      <c r="F2194" s="39" t="s">
        <v>2733</v>
      </c>
      <c r="G2194" s="40">
        <v>1</v>
      </c>
      <c r="H2194" s="39" t="s">
        <v>101</v>
      </c>
      <c r="I2194" s="39" t="s">
        <v>102</v>
      </c>
      <c r="J2194" s="41">
        <v>1500</v>
      </c>
      <c r="K2194" s="42">
        <v>37.299999999999997</v>
      </c>
      <c r="L2194" s="43"/>
      <c r="M2194" s="43">
        <f>L2194*K2194</f>
        <v>0</v>
      </c>
      <c r="N2194" s="35">
        <v>4607116262023</v>
      </c>
    </row>
    <row r="2195" spans="1:14" ht="36" customHeight="1" outlineLevel="3" x14ac:dyDescent="0.2">
      <c r="A2195" s="36" t="s">
        <v>2734</v>
      </c>
      <c r="B2195" s="37" t="str">
        <f>HYPERLINK("http://www.sedek.ru/upload/iblock/e2d/tykva_azhur_medovyy.jpg","Фото")</f>
        <v>Фото</v>
      </c>
      <c r="C2195" s="38"/>
      <c r="D2195" s="38"/>
      <c r="E2195" s="39" t="s">
        <v>263</v>
      </c>
      <c r="F2195" s="39" t="s">
        <v>2735</v>
      </c>
      <c r="G2195" s="40">
        <v>1</v>
      </c>
      <c r="H2195" s="39" t="s">
        <v>101</v>
      </c>
      <c r="I2195" s="39" t="s">
        <v>102</v>
      </c>
      <c r="J2195" s="41">
        <v>1500</v>
      </c>
      <c r="K2195" s="42">
        <v>22</v>
      </c>
      <c r="L2195" s="43"/>
      <c r="M2195" s="43">
        <f>L2195*K2195</f>
        <v>0</v>
      </c>
      <c r="N2195" s="35">
        <v>4690368030793</v>
      </c>
    </row>
    <row r="2196" spans="1:14" ht="36" customHeight="1" outlineLevel="3" x14ac:dyDescent="0.2">
      <c r="A2196" s="36" t="s">
        <v>2736</v>
      </c>
      <c r="B2196" s="37" t="str">
        <f>HYPERLINK("http://www.sedek.ru/upload/iblock/e2d/tykva_azhur_medovyy.jpg","Фото")</f>
        <v>Фото</v>
      </c>
      <c r="C2196" s="38"/>
      <c r="D2196" s="38"/>
      <c r="E2196" s="39" t="s">
        <v>263</v>
      </c>
      <c r="F2196" s="39" t="s">
        <v>2735</v>
      </c>
      <c r="G2196" s="40">
        <v>1</v>
      </c>
      <c r="H2196" s="39"/>
      <c r="I2196" s="39" t="s">
        <v>102</v>
      </c>
      <c r="J2196" s="41">
        <v>1500</v>
      </c>
      <c r="K2196" s="42">
        <v>22</v>
      </c>
      <c r="L2196" s="43"/>
      <c r="M2196" s="43">
        <f>L2196*K2196</f>
        <v>0</v>
      </c>
      <c r="N2196" s="35">
        <v>4690368030793</v>
      </c>
    </row>
    <row r="2197" spans="1:14" ht="36" customHeight="1" outlineLevel="3" x14ac:dyDescent="0.2">
      <c r="A2197" s="46">
        <v>13621</v>
      </c>
      <c r="B2197" s="47" t="str">
        <f>HYPERLINK("http://www.sedek.ru/upload/iblock/b87/tykva_amazonka.jpg","фото")</f>
        <v>фото</v>
      </c>
      <c r="C2197" s="48"/>
      <c r="D2197" s="48"/>
      <c r="E2197" s="49"/>
      <c r="F2197" s="49" t="s">
        <v>2737</v>
      </c>
      <c r="G2197" s="56">
        <v>1.5</v>
      </c>
      <c r="H2197" s="49" t="s">
        <v>101</v>
      </c>
      <c r="I2197" s="49" t="s">
        <v>102</v>
      </c>
      <c r="J2197" s="51">
        <v>1500</v>
      </c>
      <c r="K2197" s="52">
        <v>22</v>
      </c>
      <c r="L2197" s="53"/>
      <c r="M2197" s="53">
        <f>L2197*K2197</f>
        <v>0</v>
      </c>
      <c r="N2197" s="35">
        <v>4607116262030</v>
      </c>
    </row>
    <row r="2198" spans="1:14" ht="36" customHeight="1" outlineLevel="3" x14ac:dyDescent="0.2">
      <c r="A2198" s="45">
        <v>13665</v>
      </c>
      <c r="B2198" s="37" t="str">
        <f>HYPERLINK("http://sedek.ru/upload/iblock/48e/tykva_ananasnaya_f1.jpg","фото")</f>
        <v>фото</v>
      </c>
      <c r="C2198" s="38"/>
      <c r="D2198" s="38"/>
      <c r="E2198" s="39"/>
      <c r="F2198" s="39" t="s">
        <v>2738</v>
      </c>
      <c r="G2198" s="40">
        <v>1</v>
      </c>
      <c r="H2198" s="39" t="s">
        <v>101</v>
      </c>
      <c r="I2198" s="39" t="s">
        <v>102</v>
      </c>
      <c r="J2198" s="41">
        <v>1500</v>
      </c>
      <c r="K2198" s="42">
        <v>32.299999999999997</v>
      </c>
      <c r="L2198" s="43"/>
      <c r="M2198" s="43">
        <f>L2198*K2198</f>
        <v>0</v>
      </c>
      <c r="N2198" s="35">
        <v>4690368021814</v>
      </c>
    </row>
    <row r="2199" spans="1:14" ht="36" customHeight="1" outlineLevel="3" x14ac:dyDescent="0.2">
      <c r="A2199" s="45">
        <v>14494</v>
      </c>
      <c r="B2199" s="37" t="str">
        <f>HYPERLINK("http://sedek.ru/upload/iblock/69a/tykva_arina.jpg","фото")</f>
        <v>фото</v>
      </c>
      <c r="C2199" s="38"/>
      <c r="D2199" s="38"/>
      <c r="E2199" s="39"/>
      <c r="F2199" s="39" t="s">
        <v>2739</v>
      </c>
      <c r="G2199" s="40">
        <v>2</v>
      </c>
      <c r="H2199" s="39" t="s">
        <v>101</v>
      </c>
      <c r="I2199" s="39" t="s">
        <v>102</v>
      </c>
      <c r="J2199" s="41">
        <v>1500</v>
      </c>
      <c r="K2199" s="42">
        <v>22.6</v>
      </c>
      <c r="L2199" s="43"/>
      <c r="M2199" s="43">
        <f>L2199*K2199</f>
        <v>0</v>
      </c>
      <c r="N2199" s="35">
        <v>4607116262054</v>
      </c>
    </row>
    <row r="2200" spans="1:14" ht="36" customHeight="1" outlineLevel="3" x14ac:dyDescent="0.2">
      <c r="A2200" s="45">
        <v>15771</v>
      </c>
      <c r="B2200" s="37" t="str">
        <f>HYPERLINK("http://sedek.ru/upload/iblock/7f8/tykva_atlant.jpg","фото")</f>
        <v>фото</v>
      </c>
      <c r="C2200" s="38"/>
      <c r="D2200" s="38"/>
      <c r="E2200" s="39"/>
      <c r="F2200" s="39" t="s">
        <v>2740</v>
      </c>
      <c r="G2200" s="40">
        <v>1</v>
      </c>
      <c r="H2200" s="39" t="s">
        <v>101</v>
      </c>
      <c r="I2200" s="39" t="s">
        <v>102</v>
      </c>
      <c r="J2200" s="41">
        <v>1500</v>
      </c>
      <c r="K2200" s="42">
        <v>35.1</v>
      </c>
      <c r="L2200" s="43"/>
      <c r="M2200" s="43">
        <f>L2200*K2200</f>
        <v>0</v>
      </c>
      <c r="N2200" s="35">
        <v>4607149406296</v>
      </c>
    </row>
    <row r="2201" spans="1:14" ht="36" customHeight="1" outlineLevel="3" x14ac:dyDescent="0.2">
      <c r="A2201" s="36" t="s">
        <v>2741</v>
      </c>
      <c r="B2201" s="37" t="str">
        <f>HYPERLINK("http://sedek.ru/upload/iblock/20b/tykva_barynya_f1.jpg","фото")</f>
        <v>фото</v>
      </c>
      <c r="C2201" s="38"/>
      <c r="D2201" s="38"/>
      <c r="E2201" s="39"/>
      <c r="F2201" s="39" t="s">
        <v>2742</v>
      </c>
      <c r="G2201" s="40">
        <v>1</v>
      </c>
      <c r="H2201" s="39" t="s">
        <v>101</v>
      </c>
      <c r="I2201" s="39" t="s">
        <v>102</v>
      </c>
      <c r="J2201" s="41">
        <v>1500</v>
      </c>
      <c r="K2201" s="42">
        <v>32.200000000000003</v>
      </c>
      <c r="L2201" s="43"/>
      <c r="M2201" s="43">
        <f>L2201*K2201</f>
        <v>0</v>
      </c>
      <c r="N2201" s="35">
        <v>4690368021821</v>
      </c>
    </row>
    <row r="2202" spans="1:14" ht="36" customHeight="1" outlineLevel="3" x14ac:dyDescent="0.2">
      <c r="A2202" s="45">
        <v>16164</v>
      </c>
      <c r="B2202" s="37" t="str">
        <f>HYPERLINK("http://sedek.ru/upload/iblock/504/tykva_big_mun.jpg","фото")</f>
        <v>фото</v>
      </c>
      <c r="C2202" s="38"/>
      <c r="D2202" s="38"/>
      <c r="E2202" s="39"/>
      <c r="F2202" s="39" t="s">
        <v>2743</v>
      </c>
      <c r="G2202" s="40">
        <v>2</v>
      </c>
      <c r="H2202" s="39" t="s">
        <v>101</v>
      </c>
      <c r="I2202" s="39" t="s">
        <v>102</v>
      </c>
      <c r="J2202" s="41">
        <v>1500</v>
      </c>
      <c r="K2202" s="42">
        <v>56.3</v>
      </c>
      <c r="L2202" s="43"/>
      <c r="M2202" s="43">
        <f>L2202*K2202</f>
        <v>0</v>
      </c>
      <c r="N2202" s="35">
        <v>4607116262061</v>
      </c>
    </row>
    <row r="2203" spans="1:14" ht="36" customHeight="1" outlineLevel="3" x14ac:dyDescent="0.2">
      <c r="A2203" s="45">
        <v>14932</v>
      </c>
      <c r="B2203" s="37" t="str">
        <f>HYPERLINK("http://sedek.ru/upload/iblock/9df/tykva_dekorativnaya_borovichok.jpg","фото")</f>
        <v>фото</v>
      </c>
      <c r="C2203" s="38"/>
      <c r="D2203" s="38"/>
      <c r="E2203" s="39"/>
      <c r="F2203" s="39" t="s">
        <v>2744</v>
      </c>
      <c r="G2203" s="54">
        <v>0.25</v>
      </c>
      <c r="H2203" s="39" t="s">
        <v>101</v>
      </c>
      <c r="I2203" s="39" t="s">
        <v>102</v>
      </c>
      <c r="J2203" s="41">
        <v>5000</v>
      </c>
      <c r="K2203" s="42">
        <v>27.9</v>
      </c>
      <c r="L2203" s="43"/>
      <c r="M2203" s="43">
        <f>L2203*K2203</f>
        <v>0</v>
      </c>
      <c r="N2203" s="35">
        <v>4690368017817</v>
      </c>
    </row>
    <row r="2204" spans="1:14" ht="24" customHeight="1" outlineLevel="3" x14ac:dyDescent="0.2">
      <c r="A2204" s="36" t="s">
        <v>2745</v>
      </c>
      <c r="B2204" s="37" t="str">
        <f>HYPERLINK("http://sedek.ru/upload/iblock/c6e/tykva_botsman.jpg","фото")</f>
        <v>фото</v>
      </c>
      <c r="C2204" s="38"/>
      <c r="D2204" s="38"/>
      <c r="E2204" s="39"/>
      <c r="F2204" s="39" t="s">
        <v>2746</v>
      </c>
      <c r="G2204" s="40">
        <v>1</v>
      </c>
      <c r="H2204" s="39" t="s">
        <v>101</v>
      </c>
      <c r="I2204" s="39" t="s">
        <v>102</v>
      </c>
      <c r="J2204" s="41">
        <v>1500</v>
      </c>
      <c r="K2204" s="42">
        <v>33.9</v>
      </c>
      <c r="L2204" s="43"/>
      <c r="M2204" s="43">
        <f>L2204*K2204</f>
        <v>0</v>
      </c>
      <c r="N2204" s="35">
        <v>4690368013055</v>
      </c>
    </row>
    <row r="2205" spans="1:14" ht="36" customHeight="1" outlineLevel="3" x14ac:dyDescent="0.2">
      <c r="A2205" s="45">
        <v>14928</v>
      </c>
      <c r="B2205" s="37" t="str">
        <f>HYPERLINK("http://www.sedek.ru/upload/iblock/d50/tykva_dekorativnaya_butylochnaya.jpg","фото")</f>
        <v>фото</v>
      </c>
      <c r="C2205" s="38"/>
      <c r="D2205" s="38" t="s">
        <v>266</v>
      </c>
      <c r="E2205" s="39"/>
      <c r="F2205" s="39" t="s">
        <v>2747</v>
      </c>
      <c r="G2205" s="40">
        <v>1</v>
      </c>
      <c r="H2205" s="39" t="s">
        <v>101</v>
      </c>
      <c r="I2205" s="39" t="s">
        <v>102</v>
      </c>
      <c r="J2205" s="41">
        <v>2500</v>
      </c>
      <c r="K2205" s="42">
        <v>33.799999999999997</v>
      </c>
      <c r="L2205" s="43"/>
      <c r="M2205" s="43">
        <f>L2205*K2205</f>
        <v>0</v>
      </c>
      <c r="N2205" s="35">
        <v>4690368017770</v>
      </c>
    </row>
    <row r="2206" spans="1:14" ht="24" customHeight="1" outlineLevel="3" x14ac:dyDescent="0.2">
      <c r="A2206" s="45">
        <v>14935</v>
      </c>
      <c r="B2206" s="37" t="str">
        <f>HYPERLINK("http://sedek.ru/upload/iblock/b53/tykva_dekorativnaya_bembi.jpg","фото")</f>
        <v>фото</v>
      </c>
      <c r="C2206" s="38"/>
      <c r="D2206" s="38"/>
      <c r="E2206" s="39"/>
      <c r="F2206" s="39" t="s">
        <v>2748</v>
      </c>
      <c r="G2206" s="54">
        <v>0.25</v>
      </c>
      <c r="H2206" s="39" t="s">
        <v>101</v>
      </c>
      <c r="I2206" s="39" t="s">
        <v>102</v>
      </c>
      <c r="J2206" s="41">
        <v>5000</v>
      </c>
      <c r="K2206" s="42">
        <v>25.1</v>
      </c>
      <c r="L2206" s="43"/>
      <c r="M2206" s="43">
        <f>L2206*K2206</f>
        <v>0</v>
      </c>
      <c r="N2206" s="35">
        <v>4690368017848</v>
      </c>
    </row>
    <row r="2207" spans="1:14" ht="24" customHeight="1" outlineLevel="3" x14ac:dyDescent="0.2">
      <c r="A2207" s="45">
        <v>13670</v>
      </c>
      <c r="B2207" s="37" t="str">
        <f>HYPERLINK("http://www.sedek.ru/upload/iblock/e7f/tykva_valentina_f1.jpg","фото")</f>
        <v>фото</v>
      </c>
      <c r="C2207" s="38"/>
      <c r="D2207" s="38"/>
      <c r="E2207" s="39"/>
      <c r="F2207" s="39" t="s">
        <v>2749</v>
      </c>
      <c r="G2207" s="40">
        <v>1</v>
      </c>
      <c r="H2207" s="39" t="s">
        <v>101</v>
      </c>
      <c r="I2207" s="39" t="s">
        <v>102</v>
      </c>
      <c r="J2207" s="41">
        <v>1500</v>
      </c>
      <c r="K2207" s="42">
        <v>33.9</v>
      </c>
      <c r="L2207" s="43"/>
      <c r="M2207" s="43">
        <f>L2207*K2207</f>
        <v>0</v>
      </c>
      <c r="N2207" s="35">
        <v>4690368021852</v>
      </c>
    </row>
    <row r="2208" spans="1:14" ht="36" customHeight="1" outlineLevel="3" x14ac:dyDescent="0.2">
      <c r="A2208" s="45">
        <v>13596</v>
      </c>
      <c r="B2208" s="37" t="str">
        <f>HYPERLINK("http://sedek.ru/upload/iblock/fea/vitaminna.jpg","фото")</f>
        <v>фото</v>
      </c>
      <c r="C2208" s="38"/>
      <c r="D2208" s="38"/>
      <c r="E2208" s="39"/>
      <c r="F2208" s="39" t="s">
        <v>2750</v>
      </c>
      <c r="G2208" s="40">
        <v>2</v>
      </c>
      <c r="H2208" s="39" t="s">
        <v>101</v>
      </c>
      <c r="I2208" s="39" t="s">
        <v>102</v>
      </c>
      <c r="J2208" s="41">
        <v>1500</v>
      </c>
      <c r="K2208" s="42">
        <v>15.6</v>
      </c>
      <c r="L2208" s="43"/>
      <c r="M2208" s="43">
        <f>L2208*K2208</f>
        <v>0</v>
      </c>
      <c r="N2208" s="35">
        <v>4690368006712</v>
      </c>
    </row>
    <row r="2209" spans="1:14" ht="36" customHeight="1" outlineLevel="3" x14ac:dyDescent="0.2">
      <c r="A2209" s="45">
        <v>16476</v>
      </c>
      <c r="B2209" s="37" t="str">
        <f>HYPERLINK("http://www.sedek.ru/upload/iblock/656/tykva_volzhskaya_seraya_92.jpg","фото")</f>
        <v>фото</v>
      </c>
      <c r="C2209" s="38"/>
      <c r="D2209" s="38"/>
      <c r="E2209" s="39"/>
      <c r="F2209" s="39" t="s">
        <v>2751</v>
      </c>
      <c r="G2209" s="40">
        <v>2</v>
      </c>
      <c r="H2209" s="39" t="s">
        <v>101</v>
      </c>
      <c r="I2209" s="39" t="s">
        <v>102</v>
      </c>
      <c r="J2209" s="41">
        <v>1500</v>
      </c>
      <c r="K2209" s="42">
        <v>15.6</v>
      </c>
      <c r="L2209" s="43"/>
      <c r="M2209" s="43">
        <f>L2209*K2209</f>
        <v>0</v>
      </c>
      <c r="N2209" s="35">
        <v>4607149403813</v>
      </c>
    </row>
    <row r="2210" spans="1:14" ht="36" customHeight="1" outlineLevel="3" x14ac:dyDescent="0.2">
      <c r="A2210" s="45">
        <v>14673</v>
      </c>
      <c r="B2210" s="37" t="str">
        <f>HYPERLINK("http://www.sedek.ru/upload/iblock/812/tykva_gribovskaya_zimnyaya.jpg","фото")</f>
        <v>фото</v>
      </c>
      <c r="C2210" s="38"/>
      <c r="D2210" s="38"/>
      <c r="E2210" s="39"/>
      <c r="F2210" s="39" t="s">
        <v>2752</v>
      </c>
      <c r="G2210" s="40">
        <v>2</v>
      </c>
      <c r="H2210" s="39" t="s">
        <v>101</v>
      </c>
      <c r="I2210" s="39" t="s">
        <v>102</v>
      </c>
      <c r="J2210" s="41">
        <v>1500</v>
      </c>
      <c r="K2210" s="42">
        <v>18.8</v>
      </c>
      <c r="L2210" s="43"/>
      <c r="M2210" s="43">
        <f>L2210*K2210</f>
        <v>0</v>
      </c>
      <c r="N2210" s="35">
        <v>4690368015325</v>
      </c>
    </row>
    <row r="2211" spans="1:14" ht="36" customHeight="1" outlineLevel="3" x14ac:dyDescent="0.2">
      <c r="A2211" s="45">
        <v>14673</v>
      </c>
      <c r="B2211" s="37" t="str">
        <f>HYPERLINK("http://www.sedek.ru/upload/iblock/812/tykva_gribovskaya_zimnyaya.jpg","фото")</f>
        <v>фото</v>
      </c>
      <c r="C2211" s="38"/>
      <c r="D2211" s="38"/>
      <c r="E2211" s="39"/>
      <c r="F2211" s="39" t="s">
        <v>2753</v>
      </c>
      <c r="G2211" s="40">
        <v>2</v>
      </c>
      <c r="H2211" s="39" t="s">
        <v>101</v>
      </c>
      <c r="I2211" s="39" t="s">
        <v>287</v>
      </c>
      <c r="J2211" s="41">
        <v>1500</v>
      </c>
      <c r="K2211" s="42">
        <v>7.4</v>
      </c>
      <c r="L2211" s="43"/>
      <c r="M2211" s="43">
        <f>L2211*K2211</f>
        <v>0</v>
      </c>
      <c r="N2211" s="35">
        <v>4690368020787</v>
      </c>
    </row>
    <row r="2212" spans="1:14" ht="36" customHeight="1" outlineLevel="3" x14ac:dyDescent="0.2">
      <c r="A2212" s="36" t="s">
        <v>2754</v>
      </c>
      <c r="B2212" s="37" t="str">
        <f>HYPERLINK("http://sedek.ru/upload/iblock/9c3/tykva_detskaya_delikatesnaya.jpg","фото")</f>
        <v>фото</v>
      </c>
      <c r="C2212" s="38"/>
      <c r="D2212" s="38" t="s">
        <v>266</v>
      </c>
      <c r="E2212" s="39"/>
      <c r="F2212" s="39" t="s">
        <v>2755</v>
      </c>
      <c r="G2212" s="40">
        <v>1</v>
      </c>
      <c r="H2212" s="39" t="s">
        <v>101</v>
      </c>
      <c r="I2212" s="39" t="s">
        <v>102</v>
      </c>
      <c r="J2212" s="41">
        <v>1500</v>
      </c>
      <c r="K2212" s="42">
        <v>33.9</v>
      </c>
      <c r="L2212" s="43"/>
      <c r="M2212" s="43">
        <f>L2212*K2212</f>
        <v>0</v>
      </c>
      <c r="N2212" s="35">
        <v>4607149405206</v>
      </c>
    </row>
    <row r="2213" spans="1:14" ht="36" customHeight="1" outlineLevel="3" x14ac:dyDescent="0.2">
      <c r="A2213" s="45">
        <v>14931</v>
      </c>
      <c r="B2213" s="37" t="str">
        <f>HYPERLINK("http://sedek.ru/upload/iblock/8b1/tykva_dekorativnaya_detskie_igrushki.jpg","фото")</f>
        <v>фото</v>
      </c>
      <c r="C2213" s="38"/>
      <c r="D2213" s="38" t="s">
        <v>266</v>
      </c>
      <c r="E2213" s="39"/>
      <c r="F2213" s="39" t="s">
        <v>2756</v>
      </c>
      <c r="G2213" s="54">
        <v>0.25</v>
      </c>
      <c r="H2213" s="39" t="s">
        <v>101</v>
      </c>
      <c r="I2213" s="39" t="s">
        <v>102</v>
      </c>
      <c r="J2213" s="41">
        <v>5000</v>
      </c>
      <c r="K2213" s="42">
        <v>24.9</v>
      </c>
      <c r="L2213" s="43"/>
      <c r="M2213" s="43">
        <f>L2213*K2213</f>
        <v>0</v>
      </c>
      <c r="N2213" s="35">
        <v>4690368017800</v>
      </c>
    </row>
    <row r="2214" spans="1:14" ht="36" customHeight="1" outlineLevel="3" x14ac:dyDescent="0.2">
      <c r="A2214" s="46">
        <v>14686</v>
      </c>
      <c r="B2214" s="47" t="str">
        <f>HYPERLINK("http://sedek.ru/upload/iblock/1ae/tykva_dynnaya.jpg","фото")</f>
        <v>фото</v>
      </c>
      <c r="C2214" s="48"/>
      <c r="D2214" s="48"/>
      <c r="E2214" s="49"/>
      <c r="F2214" s="49" t="s">
        <v>2757</v>
      </c>
      <c r="G2214" s="50">
        <v>1</v>
      </c>
      <c r="H2214" s="49" t="s">
        <v>101</v>
      </c>
      <c r="I2214" s="49" t="s">
        <v>102</v>
      </c>
      <c r="J2214" s="51">
        <v>1500</v>
      </c>
      <c r="K2214" s="52">
        <v>33.4</v>
      </c>
      <c r="L2214" s="53"/>
      <c r="M2214" s="53">
        <f>L2214*K2214</f>
        <v>0</v>
      </c>
      <c r="N2214" s="35">
        <v>4607116262078</v>
      </c>
    </row>
    <row r="2215" spans="1:14" ht="24" customHeight="1" outlineLevel="3" x14ac:dyDescent="0.2">
      <c r="A2215" s="45">
        <v>13669</v>
      </c>
      <c r="B2215" s="37" t="str">
        <f>HYPERLINK("http://sedek.ru/upload/iblock/c0f/tykva_dynka_f1.jpg","фото")</f>
        <v>фото</v>
      </c>
      <c r="C2215" s="38"/>
      <c r="D2215" s="38"/>
      <c r="E2215" s="39"/>
      <c r="F2215" s="39" t="s">
        <v>2758</v>
      </c>
      <c r="G2215" s="40">
        <v>1</v>
      </c>
      <c r="H2215" s="39" t="s">
        <v>101</v>
      </c>
      <c r="I2215" s="39" t="s">
        <v>102</v>
      </c>
      <c r="J2215" s="41">
        <v>1500</v>
      </c>
      <c r="K2215" s="42">
        <v>37.299999999999997</v>
      </c>
      <c r="L2215" s="43"/>
      <c r="M2215" s="43">
        <f>L2215*K2215</f>
        <v>0</v>
      </c>
      <c r="N2215" s="35">
        <v>4690368021876</v>
      </c>
    </row>
    <row r="2216" spans="1:14" ht="36" customHeight="1" outlineLevel="3" x14ac:dyDescent="0.2">
      <c r="A2216" s="45">
        <v>14811</v>
      </c>
      <c r="B2216" s="37" t="str">
        <f>HYPERLINK("http://sedek.ru/upload/iblock/6f6/tykva_zhyeltaya_iz_parizha.jpg","фото")</f>
        <v>фото</v>
      </c>
      <c r="C2216" s="38"/>
      <c r="D2216" s="38"/>
      <c r="E2216" s="39"/>
      <c r="F2216" s="39" t="s">
        <v>2759</v>
      </c>
      <c r="G2216" s="40">
        <v>2</v>
      </c>
      <c r="H2216" s="39" t="s">
        <v>101</v>
      </c>
      <c r="I2216" s="39" t="s">
        <v>102</v>
      </c>
      <c r="J2216" s="41">
        <v>1500</v>
      </c>
      <c r="K2216" s="42">
        <v>37.299999999999997</v>
      </c>
      <c r="L2216" s="43"/>
      <c r="M2216" s="43">
        <f>L2216*K2216</f>
        <v>0</v>
      </c>
      <c r="N2216" s="35">
        <v>4607116262085</v>
      </c>
    </row>
    <row r="2217" spans="1:14" ht="36" customHeight="1" outlineLevel="3" x14ac:dyDescent="0.2">
      <c r="A2217" s="45">
        <v>15611</v>
      </c>
      <c r="B2217" s="37" t="str">
        <f>HYPERLINK("http://sedek.ru/upload/iblock/973/tykva_zhemchuzhina.jpg","фото")</f>
        <v>фото</v>
      </c>
      <c r="C2217" s="38"/>
      <c r="D2217" s="38"/>
      <c r="E2217" s="39"/>
      <c r="F2217" s="39" t="s">
        <v>2760</v>
      </c>
      <c r="G2217" s="40">
        <v>1</v>
      </c>
      <c r="H2217" s="39" t="s">
        <v>101</v>
      </c>
      <c r="I2217" s="39" t="s">
        <v>102</v>
      </c>
      <c r="J2217" s="41">
        <v>1500</v>
      </c>
      <c r="K2217" s="42">
        <v>27.7</v>
      </c>
      <c r="L2217" s="43"/>
      <c r="M2217" s="43">
        <f>L2217*K2217</f>
        <v>0</v>
      </c>
      <c r="N2217" s="35">
        <v>4690368009973</v>
      </c>
    </row>
    <row r="2218" spans="1:14" ht="48" customHeight="1" outlineLevel="3" x14ac:dyDescent="0.2">
      <c r="A2218" s="45">
        <v>17134</v>
      </c>
      <c r="B2218" s="37" t="str">
        <f>HYPERLINK("http://sedek.ru/upload/iblock/fd5/tykva_zhongler.jpg","фото")</f>
        <v>фото</v>
      </c>
      <c r="C2218" s="38"/>
      <c r="D2218" s="38"/>
      <c r="E2218" s="39"/>
      <c r="F2218" s="39" t="s">
        <v>2761</v>
      </c>
      <c r="G2218" s="40">
        <v>1</v>
      </c>
      <c r="H2218" s="39" t="s">
        <v>101</v>
      </c>
      <c r="I2218" s="39" t="s">
        <v>102</v>
      </c>
      <c r="J2218" s="41">
        <v>2500</v>
      </c>
      <c r="K2218" s="42">
        <v>27.7</v>
      </c>
      <c r="L2218" s="43"/>
      <c r="M2218" s="43">
        <f>L2218*K2218</f>
        <v>0</v>
      </c>
      <c r="N2218" s="35">
        <v>4690368023115</v>
      </c>
    </row>
    <row r="2219" spans="1:14" ht="36" customHeight="1" outlineLevel="3" x14ac:dyDescent="0.2">
      <c r="A2219" s="45">
        <v>15220</v>
      </c>
      <c r="B2219" s="37" t="str">
        <f>HYPERLINK("http://sedek.ru/upload/iblock/393/tykva_zimnyaya_sladkaya.jpg","фото")</f>
        <v>фото</v>
      </c>
      <c r="C2219" s="38"/>
      <c r="D2219" s="38"/>
      <c r="E2219" s="39"/>
      <c r="F2219" s="39" t="s">
        <v>2762</v>
      </c>
      <c r="G2219" s="40">
        <v>2</v>
      </c>
      <c r="H2219" s="39" t="s">
        <v>101</v>
      </c>
      <c r="I2219" s="39" t="s">
        <v>102</v>
      </c>
      <c r="J2219" s="41">
        <v>1500</v>
      </c>
      <c r="K2219" s="42">
        <v>20</v>
      </c>
      <c r="L2219" s="43"/>
      <c r="M2219" s="43">
        <f>L2219*K2219</f>
        <v>0</v>
      </c>
      <c r="N2219" s="35">
        <v>4607116262092</v>
      </c>
    </row>
    <row r="2220" spans="1:14" ht="36" customHeight="1" outlineLevel="3" x14ac:dyDescent="0.2">
      <c r="A2220" s="45">
        <v>14092</v>
      </c>
      <c r="B2220" s="37" t="str">
        <f>HYPERLINK("http://sedek.ru/upload/iblock/f06/tykva_zolotaya_semechka.jpg","фото")</f>
        <v>фото</v>
      </c>
      <c r="C2220" s="38"/>
      <c r="D2220" s="38"/>
      <c r="E2220" s="39"/>
      <c r="F2220" s="39" t="s">
        <v>2763</v>
      </c>
      <c r="G2220" s="40">
        <v>2</v>
      </c>
      <c r="H2220" s="39" t="s">
        <v>101</v>
      </c>
      <c r="I2220" s="39" t="s">
        <v>102</v>
      </c>
      <c r="J2220" s="41">
        <v>1500</v>
      </c>
      <c r="K2220" s="42">
        <v>22.7</v>
      </c>
      <c r="L2220" s="43"/>
      <c r="M2220" s="43">
        <f>L2220*K2220</f>
        <v>0</v>
      </c>
      <c r="N2220" s="35">
        <v>4690368022378</v>
      </c>
    </row>
    <row r="2221" spans="1:14" ht="36" customHeight="1" outlineLevel="3" x14ac:dyDescent="0.2">
      <c r="A2221" s="45">
        <v>15817</v>
      </c>
      <c r="B2221" s="37" t="str">
        <f>HYPERLINK("http://sedek.ru/upload/iblock/c14/tykva_zorka.jpg","фото")</f>
        <v>фото</v>
      </c>
      <c r="C2221" s="38"/>
      <c r="D2221" s="38"/>
      <c r="E2221" s="39"/>
      <c r="F2221" s="39" t="s">
        <v>2764</v>
      </c>
      <c r="G2221" s="40">
        <v>2</v>
      </c>
      <c r="H2221" s="39" t="s">
        <v>101</v>
      </c>
      <c r="I2221" s="39" t="s">
        <v>102</v>
      </c>
      <c r="J2221" s="41">
        <v>1500</v>
      </c>
      <c r="K2221" s="42">
        <v>20</v>
      </c>
      <c r="L2221" s="43"/>
      <c r="M2221" s="43">
        <f>L2221*K2221</f>
        <v>0</v>
      </c>
      <c r="N2221" s="35">
        <v>4690368009980</v>
      </c>
    </row>
    <row r="2222" spans="1:14" ht="24" customHeight="1" outlineLevel="3" x14ac:dyDescent="0.2">
      <c r="A2222" s="45">
        <v>15818</v>
      </c>
      <c r="B2222" s="37" t="str">
        <f>HYPERLINK("http://sedek.ru/upload/iblock/d52/tykva_izyashchnaya.JPG","фото")</f>
        <v>фото</v>
      </c>
      <c r="C2222" s="38"/>
      <c r="D2222" s="38"/>
      <c r="E2222" s="39"/>
      <c r="F2222" s="39" t="s">
        <v>2765</v>
      </c>
      <c r="G2222" s="40">
        <v>2</v>
      </c>
      <c r="H2222" s="39" t="s">
        <v>101</v>
      </c>
      <c r="I2222" s="39" t="s">
        <v>102</v>
      </c>
      <c r="J2222" s="41">
        <v>1500</v>
      </c>
      <c r="K2222" s="42">
        <v>20</v>
      </c>
      <c r="L2222" s="43"/>
      <c r="M2222" s="43">
        <f>L2222*K2222</f>
        <v>0</v>
      </c>
      <c r="N2222" s="35">
        <v>4690368009997</v>
      </c>
    </row>
    <row r="2223" spans="1:14" ht="36" customHeight="1" outlineLevel="3" x14ac:dyDescent="0.2">
      <c r="A2223" s="45">
        <v>13659</v>
      </c>
      <c r="B2223" s="37" t="str">
        <f>HYPERLINK("http://sedek.ru/upload/iblock/3f2/tykva_karotinovaya_f1.jpg","фото")</f>
        <v>фото</v>
      </c>
      <c r="C2223" s="38"/>
      <c r="D2223" s="38" t="s">
        <v>266</v>
      </c>
      <c r="E2223" s="39"/>
      <c r="F2223" s="39" t="s">
        <v>2766</v>
      </c>
      <c r="G2223" s="44">
        <v>1.5</v>
      </c>
      <c r="H2223" s="39" t="s">
        <v>101</v>
      </c>
      <c r="I2223" s="39" t="s">
        <v>102</v>
      </c>
      <c r="J2223" s="41">
        <v>1500</v>
      </c>
      <c r="K2223" s="42">
        <v>35.4</v>
      </c>
      <c r="L2223" s="43"/>
      <c r="M2223" s="43">
        <f>L2223*K2223</f>
        <v>0</v>
      </c>
      <c r="N2223" s="35">
        <v>4690368021883</v>
      </c>
    </row>
    <row r="2224" spans="1:14" ht="36" customHeight="1" outlineLevel="3" x14ac:dyDescent="0.2">
      <c r="A2224" s="36" t="s">
        <v>2767</v>
      </c>
      <c r="B2224" s="37" t="str">
        <f>HYPERLINK("http://sedek.ru/upload/iblock/c3c/tykva_kashtanka.jpg","фото")</f>
        <v>фото</v>
      </c>
      <c r="C2224" s="38"/>
      <c r="D2224" s="38"/>
      <c r="E2224" s="39"/>
      <c r="F2224" s="39" t="s">
        <v>2768</v>
      </c>
      <c r="G2224" s="40">
        <v>1</v>
      </c>
      <c r="H2224" s="39" t="s">
        <v>101</v>
      </c>
      <c r="I2224" s="39" t="s">
        <v>102</v>
      </c>
      <c r="J2224" s="41">
        <v>1500</v>
      </c>
      <c r="K2224" s="42">
        <v>33.9</v>
      </c>
      <c r="L2224" s="43"/>
      <c r="M2224" s="43">
        <f>L2224*K2224</f>
        <v>0</v>
      </c>
      <c r="N2224" s="35">
        <v>4607149406319</v>
      </c>
    </row>
    <row r="2225" spans="1:14" ht="36" customHeight="1" outlineLevel="3" x14ac:dyDescent="0.2">
      <c r="A2225" s="45">
        <v>13710</v>
      </c>
      <c r="B2225" s="37" t="str">
        <f>HYPERLINK("http://www.sedek.ru/upload/iblock/cc3/tykva_konfetka.JPG","фото")</f>
        <v>фото</v>
      </c>
      <c r="C2225" s="38"/>
      <c r="D2225" s="38"/>
      <c r="E2225" s="39"/>
      <c r="F2225" s="39" t="s">
        <v>2769</v>
      </c>
      <c r="G2225" s="40">
        <v>2</v>
      </c>
      <c r="H2225" s="39" t="s">
        <v>101</v>
      </c>
      <c r="I2225" s="39" t="s">
        <v>102</v>
      </c>
      <c r="J2225" s="41">
        <v>1500</v>
      </c>
      <c r="K2225" s="42">
        <v>27.7</v>
      </c>
      <c r="L2225" s="43"/>
      <c r="M2225" s="43">
        <f>L2225*K2225</f>
        <v>0</v>
      </c>
      <c r="N2225" s="35">
        <v>4690368022392</v>
      </c>
    </row>
    <row r="2226" spans="1:14" ht="36" customHeight="1" outlineLevel="3" x14ac:dyDescent="0.2">
      <c r="A2226" s="36" t="s">
        <v>2770</v>
      </c>
      <c r="B2226" s="37" t="str">
        <f>HYPERLINK("http://sedek.ru/upload/iblock/635/tykva_krasa_ogoroda_f1.JPG","фото")</f>
        <v>фото</v>
      </c>
      <c r="C2226" s="38"/>
      <c r="D2226" s="38"/>
      <c r="E2226" s="39"/>
      <c r="F2226" s="39" t="s">
        <v>2771</v>
      </c>
      <c r="G2226" s="40">
        <v>1</v>
      </c>
      <c r="H2226" s="39" t="s">
        <v>101</v>
      </c>
      <c r="I2226" s="39" t="s">
        <v>102</v>
      </c>
      <c r="J2226" s="41">
        <v>1500</v>
      </c>
      <c r="K2226" s="42">
        <v>33.9</v>
      </c>
      <c r="L2226" s="43"/>
      <c r="M2226" s="43">
        <f>L2226*K2226</f>
        <v>0</v>
      </c>
      <c r="N2226" s="35">
        <v>4690368022385</v>
      </c>
    </row>
    <row r="2227" spans="1:14" ht="36" customHeight="1" outlineLevel="3" x14ac:dyDescent="0.2">
      <c r="A2227" s="36" t="s">
        <v>2772</v>
      </c>
      <c r="B2227" s="37" t="str">
        <f>HYPERLINK("http://sedek.ru/upload/iblock/067/tykva_krasnaya_vkusnaya.jpg","фото")</f>
        <v>фото</v>
      </c>
      <c r="C2227" s="38"/>
      <c r="D2227" s="38"/>
      <c r="E2227" s="39"/>
      <c r="F2227" s="39" t="s">
        <v>2773</v>
      </c>
      <c r="G2227" s="40">
        <v>1</v>
      </c>
      <c r="H2227" s="39" t="s">
        <v>101</v>
      </c>
      <c r="I2227" s="39" t="s">
        <v>102</v>
      </c>
      <c r="J2227" s="41">
        <v>1500</v>
      </c>
      <c r="K2227" s="42">
        <v>33.9</v>
      </c>
      <c r="L2227" s="43"/>
      <c r="M2227" s="43">
        <f>L2227*K2227</f>
        <v>0</v>
      </c>
      <c r="N2227" s="35">
        <v>4607149405213</v>
      </c>
    </row>
    <row r="2228" spans="1:14" ht="36" customHeight="1" outlineLevel="3" x14ac:dyDescent="0.2">
      <c r="A2228" s="45">
        <v>15819</v>
      </c>
      <c r="B2228" s="37" t="str">
        <f>HYPERLINK("http://sedek.ru/upload/iblock/d26/tykva_krupnoplodnaya_1.JPG","фото")</f>
        <v>фото</v>
      </c>
      <c r="C2228" s="38"/>
      <c r="D2228" s="38"/>
      <c r="E2228" s="39"/>
      <c r="F2228" s="39" t="s">
        <v>2774</v>
      </c>
      <c r="G2228" s="40">
        <v>2</v>
      </c>
      <c r="H2228" s="39" t="s">
        <v>101</v>
      </c>
      <c r="I2228" s="39" t="s">
        <v>102</v>
      </c>
      <c r="J2228" s="41">
        <v>1500</v>
      </c>
      <c r="K2228" s="42">
        <v>20</v>
      </c>
      <c r="L2228" s="43"/>
      <c r="M2228" s="43">
        <f>L2228*K2228</f>
        <v>0</v>
      </c>
      <c r="N2228" s="35">
        <v>4690368010009</v>
      </c>
    </row>
    <row r="2229" spans="1:14" ht="36" customHeight="1" outlineLevel="3" x14ac:dyDescent="0.2">
      <c r="A2229" s="45">
        <v>15614</v>
      </c>
      <c r="B2229" s="37" t="str">
        <f>HYPERLINK("http://sedek.ru/upload/iblock/84e/tykva_kupchikha.jpg","фото")</f>
        <v>фото</v>
      </c>
      <c r="C2229" s="38"/>
      <c r="D2229" s="38"/>
      <c r="E2229" s="39"/>
      <c r="F2229" s="39" t="s">
        <v>2775</v>
      </c>
      <c r="G2229" s="40">
        <v>2</v>
      </c>
      <c r="H2229" s="39" t="s">
        <v>101</v>
      </c>
      <c r="I2229" s="39" t="s">
        <v>102</v>
      </c>
      <c r="J2229" s="41">
        <v>1500</v>
      </c>
      <c r="K2229" s="42">
        <v>27.7</v>
      </c>
      <c r="L2229" s="43"/>
      <c r="M2229" s="43">
        <f>L2229*K2229</f>
        <v>0</v>
      </c>
      <c r="N2229" s="35">
        <v>4607149405190</v>
      </c>
    </row>
    <row r="2230" spans="1:14" ht="36" customHeight="1" outlineLevel="3" x14ac:dyDescent="0.2">
      <c r="A2230" s="45">
        <v>14930</v>
      </c>
      <c r="B2230" s="37" t="str">
        <f>HYPERLINK("http://sedek.ru/upload/iblock/d6a/tykva_dekorativnaya_lebedinaya_sheya.jpg","фото")</f>
        <v>фото</v>
      </c>
      <c r="C2230" s="38"/>
      <c r="D2230" s="38"/>
      <c r="E2230" s="39"/>
      <c r="F2230" s="39" t="s">
        <v>2776</v>
      </c>
      <c r="G2230" s="40">
        <v>1</v>
      </c>
      <c r="H2230" s="39" t="s">
        <v>101</v>
      </c>
      <c r="I2230" s="39" t="s">
        <v>102</v>
      </c>
      <c r="J2230" s="41">
        <v>2500</v>
      </c>
      <c r="K2230" s="42">
        <v>51.2</v>
      </c>
      <c r="L2230" s="43"/>
      <c r="M2230" s="43">
        <f>L2230*K2230</f>
        <v>0</v>
      </c>
      <c r="N2230" s="35">
        <v>4690368017794</v>
      </c>
    </row>
    <row r="2231" spans="1:14" ht="36" customHeight="1" outlineLevel="3" x14ac:dyDescent="0.2">
      <c r="A2231" s="45">
        <v>15563</v>
      </c>
      <c r="B2231" s="37" t="str">
        <f>HYPERLINK("http://www.sedek.ru/upload/iblock/b3b/tykva_lechebnaya.jpg","фото")</f>
        <v>фото</v>
      </c>
      <c r="C2231" s="38"/>
      <c r="D2231" s="38"/>
      <c r="E2231" s="39"/>
      <c r="F2231" s="39" t="s">
        <v>2777</v>
      </c>
      <c r="G2231" s="44">
        <v>1.5</v>
      </c>
      <c r="H2231" s="39" t="s">
        <v>101</v>
      </c>
      <c r="I2231" s="39" t="s">
        <v>102</v>
      </c>
      <c r="J2231" s="41">
        <v>1500</v>
      </c>
      <c r="K2231" s="42">
        <v>16.7</v>
      </c>
      <c r="L2231" s="43"/>
      <c r="M2231" s="43">
        <f>L2231*K2231</f>
        <v>0</v>
      </c>
      <c r="N2231" s="35">
        <v>4607149406326</v>
      </c>
    </row>
    <row r="2232" spans="1:14" ht="36" customHeight="1" outlineLevel="3" x14ac:dyDescent="0.2">
      <c r="A2232" s="45">
        <v>15563</v>
      </c>
      <c r="B2232" s="37" t="str">
        <f>HYPERLINK("http://www.sedek.ru/upload/iblock/b3b/tykva_lechebnaya.jpg","фото")</f>
        <v>фото</v>
      </c>
      <c r="C2232" s="38"/>
      <c r="D2232" s="38"/>
      <c r="E2232" s="39"/>
      <c r="F2232" s="39" t="s">
        <v>2778</v>
      </c>
      <c r="G2232" s="44">
        <v>1.5</v>
      </c>
      <c r="H2232" s="39" t="s">
        <v>101</v>
      </c>
      <c r="I2232" s="39" t="s">
        <v>287</v>
      </c>
      <c r="J2232" s="41">
        <v>1500</v>
      </c>
      <c r="K2232" s="42">
        <v>11.7</v>
      </c>
      <c r="L2232" s="43"/>
      <c r="M2232" s="43">
        <f>L2232*K2232</f>
        <v>0</v>
      </c>
      <c r="N2232" s="35">
        <v>4690368020862</v>
      </c>
    </row>
    <row r="2233" spans="1:14" ht="36" customHeight="1" outlineLevel="3" x14ac:dyDescent="0.2">
      <c r="A2233" s="36" t="s">
        <v>2779</v>
      </c>
      <c r="B2233" s="37" t="str">
        <f>HYPERLINK("http://sedek.ru/upload/iblock/29e/tykva_lyubimitsa_f1.jpg","фото")</f>
        <v>фото</v>
      </c>
      <c r="C2233" s="38"/>
      <c r="D2233" s="38"/>
      <c r="E2233" s="39"/>
      <c r="F2233" s="39" t="s">
        <v>2780</v>
      </c>
      <c r="G2233" s="40">
        <v>1</v>
      </c>
      <c r="H2233" s="39" t="s">
        <v>101</v>
      </c>
      <c r="I2233" s="39" t="s">
        <v>102</v>
      </c>
      <c r="J2233" s="41">
        <v>1500</v>
      </c>
      <c r="K2233" s="42">
        <v>32.200000000000003</v>
      </c>
      <c r="L2233" s="43"/>
      <c r="M2233" s="43">
        <f>L2233*K2233</f>
        <v>0</v>
      </c>
      <c r="N2233" s="35">
        <v>4690368021890</v>
      </c>
    </row>
    <row r="2234" spans="1:14" ht="36" customHeight="1" outlineLevel="3" x14ac:dyDescent="0.2">
      <c r="A2234" s="45">
        <v>13672</v>
      </c>
      <c r="B2234" s="37" t="str">
        <f>HYPERLINK("http://sedek.ru/upload/iblock/bc4/tykva_madam.jpg","фото")</f>
        <v>фото</v>
      </c>
      <c r="C2234" s="38"/>
      <c r="D2234" s="38"/>
      <c r="E2234" s="39"/>
      <c r="F2234" s="39" t="s">
        <v>2781</v>
      </c>
      <c r="G2234" s="40">
        <v>2</v>
      </c>
      <c r="H2234" s="39" t="s">
        <v>101</v>
      </c>
      <c r="I2234" s="39" t="s">
        <v>102</v>
      </c>
      <c r="J2234" s="41">
        <v>1500</v>
      </c>
      <c r="K2234" s="42">
        <v>31</v>
      </c>
      <c r="L2234" s="43"/>
      <c r="M2234" s="43">
        <f>L2234*K2234</f>
        <v>0</v>
      </c>
      <c r="N2234" s="35">
        <v>4690368021906</v>
      </c>
    </row>
    <row r="2235" spans="1:14" ht="36" customHeight="1" outlineLevel="3" x14ac:dyDescent="0.2">
      <c r="A2235" s="45">
        <v>13678</v>
      </c>
      <c r="B2235" s="37" t="str">
        <f>HYPERLINK("http://sedek.ru/upload/iblock/c6f/tykva_medovaya_tokio_f1.jpg","фото")</f>
        <v>фото</v>
      </c>
      <c r="C2235" s="38"/>
      <c r="D2235" s="38"/>
      <c r="E2235" s="39"/>
      <c r="F2235" s="39" t="s">
        <v>2782</v>
      </c>
      <c r="G2235" s="40">
        <v>1</v>
      </c>
      <c r="H2235" s="39" t="s">
        <v>101</v>
      </c>
      <c r="I2235" s="39" t="s">
        <v>102</v>
      </c>
      <c r="J2235" s="41">
        <v>1500</v>
      </c>
      <c r="K2235" s="42">
        <v>28.9</v>
      </c>
      <c r="L2235" s="43"/>
      <c r="M2235" s="43">
        <f>L2235*K2235</f>
        <v>0</v>
      </c>
      <c r="N2235" s="35">
        <v>4690368021913</v>
      </c>
    </row>
    <row r="2236" spans="1:14" ht="36" customHeight="1" outlineLevel="3" x14ac:dyDescent="0.2">
      <c r="A2236" s="45">
        <v>14721</v>
      </c>
      <c r="B2236" s="37" t="str">
        <f>HYPERLINK("http://sedek.ru/upload/iblock/876/tykva_mechta_kukharki.jpg","фото")</f>
        <v>фото</v>
      </c>
      <c r="C2236" s="38"/>
      <c r="D2236" s="38"/>
      <c r="E2236" s="39"/>
      <c r="F2236" s="39" t="s">
        <v>2783</v>
      </c>
      <c r="G2236" s="44">
        <v>1.5</v>
      </c>
      <c r="H2236" s="39" t="s">
        <v>101</v>
      </c>
      <c r="I2236" s="39" t="s">
        <v>102</v>
      </c>
      <c r="J2236" s="41">
        <v>1500</v>
      </c>
      <c r="K2236" s="42">
        <v>23.9</v>
      </c>
      <c r="L2236" s="43"/>
      <c r="M2236" s="43">
        <f>L2236*K2236</f>
        <v>0</v>
      </c>
      <c r="N2236" s="35">
        <v>4690368006033</v>
      </c>
    </row>
    <row r="2237" spans="1:14" ht="36" customHeight="1" outlineLevel="3" x14ac:dyDescent="0.2">
      <c r="A2237" s="45">
        <v>14933</v>
      </c>
      <c r="B2237" s="37" t="str">
        <f>HYPERLINK("http://sedek.ru/upload/iblock/741/tykva_dekorativnaya_milashka.jpg","фото")</f>
        <v>фото</v>
      </c>
      <c r="C2237" s="38"/>
      <c r="D2237" s="38"/>
      <c r="E2237" s="39"/>
      <c r="F2237" s="39" t="s">
        <v>2784</v>
      </c>
      <c r="G2237" s="54">
        <v>0.25</v>
      </c>
      <c r="H2237" s="39" t="s">
        <v>101</v>
      </c>
      <c r="I2237" s="39" t="s">
        <v>102</v>
      </c>
      <c r="J2237" s="41">
        <v>5000</v>
      </c>
      <c r="K2237" s="42">
        <v>20.5</v>
      </c>
      <c r="L2237" s="43"/>
      <c r="M2237" s="43">
        <f>L2237*K2237</f>
        <v>0</v>
      </c>
      <c r="N2237" s="35">
        <v>4690368017824</v>
      </c>
    </row>
    <row r="2238" spans="1:14" ht="36" customHeight="1" outlineLevel="3" x14ac:dyDescent="0.2">
      <c r="A2238" s="45">
        <v>13615</v>
      </c>
      <c r="B2238" s="37" t="str">
        <f>HYPERLINK("http://sedek.ru/upload/iblock/65c/tykva_miranda.jpg","фото")</f>
        <v>фото</v>
      </c>
      <c r="C2238" s="38"/>
      <c r="D2238" s="38"/>
      <c r="E2238" s="39"/>
      <c r="F2238" s="39" t="s">
        <v>2785</v>
      </c>
      <c r="G2238" s="44">
        <v>1.5</v>
      </c>
      <c r="H2238" s="39" t="s">
        <v>101</v>
      </c>
      <c r="I2238" s="39" t="s">
        <v>102</v>
      </c>
      <c r="J2238" s="41">
        <v>1500</v>
      </c>
      <c r="K2238" s="42">
        <v>23.9</v>
      </c>
      <c r="L2238" s="43"/>
      <c r="M2238" s="43">
        <f>L2238*K2238</f>
        <v>0</v>
      </c>
      <c r="N2238" s="35">
        <v>4607116262115</v>
      </c>
    </row>
    <row r="2239" spans="1:14" ht="36" customHeight="1" outlineLevel="3" x14ac:dyDescent="0.2">
      <c r="A2239" s="45">
        <v>15354</v>
      </c>
      <c r="B2239" s="37" t="str">
        <f>HYPERLINK("http://sedek.ru/upload/iblock/023/tykva_muskatnaya.jpg","фото")</f>
        <v>фото</v>
      </c>
      <c r="C2239" s="38"/>
      <c r="D2239" s="38"/>
      <c r="E2239" s="39"/>
      <c r="F2239" s="39" t="s">
        <v>2786</v>
      </c>
      <c r="G2239" s="40">
        <v>2</v>
      </c>
      <c r="H2239" s="39" t="s">
        <v>101</v>
      </c>
      <c r="I2239" s="39" t="s">
        <v>102</v>
      </c>
      <c r="J2239" s="41">
        <v>1500</v>
      </c>
      <c r="K2239" s="42">
        <v>32.6</v>
      </c>
      <c r="L2239" s="43"/>
      <c r="M2239" s="43">
        <f>L2239*K2239</f>
        <v>0</v>
      </c>
      <c r="N2239" s="35">
        <v>4690368006705</v>
      </c>
    </row>
    <row r="2240" spans="1:14" ht="24" customHeight="1" outlineLevel="3" x14ac:dyDescent="0.2">
      <c r="A2240" s="36" t="s">
        <v>2787</v>
      </c>
      <c r="B2240" s="37" t="str">
        <f>HYPERLINK("http://www.sedek.ru/upload/iblock/c70/tykva_muskatnaya_provanskaya.jpg","фото")</f>
        <v>фото</v>
      </c>
      <c r="C2240" s="38"/>
      <c r="D2240" s="38"/>
      <c r="E2240" s="39"/>
      <c r="F2240" s="39" t="s">
        <v>2788</v>
      </c>
      <c r="G2240" s="40">
        <v>1</v>
      </c>
      <c r="H2240" s="39" t="s">
        <v>101</v>
      </c>
      <c r="I2240" s="39" t="s">
        <v>102</v>
      </c>
      <c r="J2240" s="41">
        <v>1500</v>
      </c>
      <c r="K2240" s="42">
        <v>20</v>
      </c>
      <c r="L2240" s="43"/>
      <c r="M2240" s="43">
        <f>L2240*K2240</f>
        <v>0</v>
      </c>
      <c r="N2240" s="35">
        <v>4690368037747</v>
      </c>
    </row>
    <row r="2241" spans="1:14" ht="36" customHeight="1" outlineLevel="3" x14ac:dyDescent="0.2">
      <c r="A2241" s="36" t="s">
        <v>2789</v>
      </c>
      <c r="B2241" s="37" t="str">
        <f>HYPERLINK("http://sedek.ru/upload/resize_cache/iblock/cc3/pzdmn6ez2v9vcsizl87sp3bn1sey9rox/150_260_140cd750bba9870f18aada2478b24840a/tykva_muskatnoe_serdtse.jpg","фото")</f>
        <v>фото</v>
      </c>
      <c r="C2241" s="38" t="s">
        <v>266</v>
      </c>
      <c r="D2241" s="38"/>
      <c r="E2241" s="39"/>
      <c r="F2241" s="39" t="s">
        <v>2790</v>
      </c>
      <c r="G2241" s="40">
        <v>2</v>
      </c>
      <c r="H2241" s="39"/>
      <c r="I2241" s="39" t="s">
        <v>102</v>
      </c>
      <c r="J2241" s="41">
        <v>1500</v>
      </c>
      <c r="K2241" s="42">
        <v>22.3</v>
      </c>
      <c r="L2241" s="43"/>
      <c r="M2241" s="43">
        <f>L2241*K2241</f>
        <v>0</v>
      </c>
      <c r="N2241" s="35">
        <v>4690368041355</v>
      </c>
    </row>
    <row r="2242" spans="1:14" ht="36" customHeight="1" outlineLevel="3" x14ac:dyDescent="0.2">
      <c r="A2242" s="36" t="s">
        <v>2791</v>
      </c>
      <c r="B2242" s="37" t="str">
        <f>HYPERLINK("http://sedek.ru/upload/iblock/0fe/tykva_oranzhevaya_medovaya.jpg","фото")</f>
        <v>фото</v>
      </c>
      <c r="C2242" s="38"/>
      <c r="D2242" s="38"/>
      <c r="E2242" s="39"/>
      <c r="F2242" s="39" t="s">
        <v>2792</v>
      </c>
      <c r="G2242" s="40">
        <v>1</v>
      </c>
      <c r="H2242" s="39" t="s">
        <v>101</v>
      </c>
      <c r="I2242" s="39" t="s">
        <v>102</v>
      </c>
      <c r="J2242" s="41">
        <v>1500</v>
      </c>
      <c r="K2242" s="42">
        <v>33.9</v>
      </c>
      <c r="L2242" s="43"/>
      <c r="M2242" s="43">
        <f>L2242*K2242</f>
        <v>0</v>
      </c>
      <c r="N2242" s="35">
        <v>4607149405220</v>
      </c>
    </row>
    <row r="2243" spans="1:14" ht="36" customHeight="1" outlineLevel="3" x14ac:dyDescent="0.2">
      <c r="A2243" s="36" t="s">
        <v>2793</v>
      </c>
      <c r="B2243" s="37" t="str">
        <f>HYPERLINK("http://sedek.ru/upload/iblock/0fe/tykva_oranzhevaya_medovaya.jpg","фото")</f>
        <v>фото</v>
      </c>
      <c r="C2243" s="38"/>
      <c r="D2243" s="38"/>
      <c r="E2243" s="39"/>
      <c r="F2243" s="39" t="s">
        <v>2792</v>
      </c>
      <c r="G2243" s="40">
        <v>1</v>
      </c>
      <c r="H2243" s="39"/>
      <c r="I2243" s="39" t="s">
        <v>102</v>
      </c>
      <c r="J2243" s="41">
        <v>1500</v>
      </c>
      <c r="K2243" s="42">
        <v>33.9</v>
      </c>
      <c r="L2243" s="43"/>
      <c r="M2243" s="43">
        <f>L2243*K2243</f>
        <v>0</v>
      </c>
      <c r="N2243" s="35">
        <v>4607149405220</v>
      </c>
    </row>
    <row r="2244" spans="1:14" ht="48" customHeight="1" outlineLevel="3" x14ac:dyDescent="0.2">
      <c r="A2244" s="45">
        <v>17132</v>
      </c>
      <c r="B2244" s="37" t="str">
        <f>HYPERLINK("http://sedek.ru/upload/iblock/896/tykva_dekorativnaya_ping_pong.jpg","фото")</f>
        <v>фото</v>
      </c>
      <c r="C2244" s="38"/>
      <c r="D2244" s="38"/>
      <c r="E2244" s="39"/>
      <c r="F2244" s="39" t="s">
        <v>2794</v>
      </c>
      <c r="G2244" s="54">
        <v>0.25</v>
      </c>
      <c r="H2244" s="39" t="s">
        <v>101</v>
      </c>
      <c r="I2244" s="39" t="s">
        <v>102</v>
      </c>
      <c r="J2244" s="41">
        <v>5000</v>
      </c>
      <c r="K2244" s="42">
        <v>28.5</v>
      </c>
      <c r="L2244" s="43"/>
      <c r="M2244" s="43">
        <f>L2244*K2244</f>
        <v>0</v>
      </c>
      <c r="N2244" s="35">
        <v>4690368023108</v>
      </c>
    </row>
    <row r="2245" spans="1:14" ht="36" customHeight="1" outlineLevel="3" x14ac:dyDescent="0.2">
      <c r="A2245" s="36" t="s">
        <v>2795</v>
      </c>
      <c r="B2245" s="37" t="str">
        <f>HYPERLINK("http://sedek.ru/upload/iblock/e50/tykva_rozovaya_feya.jpg","фото")</f>
        <v>фото</v>
      </c>
      <c r="C2245" s="38"/>
      <c r="D2245" s="38"/>
      <c r="E2245" s="39"/>
      <c r="F2245" s="39" t="s">
        <v>2796</v>
      </c>
      <c r="G2245" s="40">
        <v>1</v>
      </c>
      <c r="H2245" s="39" t="s">
        <v>101</v>
      </c>
      <c r="I2245" s="39" t="s">
        <v>102</v>
      </c>
      <c r="J2245" s="41">
        <v>1500</v>
      </c>
      <c r="K2245" s="42">
        <v>27.7</v>
      </c>
      <c r="L2245" s="43"/>
      <c r="M2245" s="43">
        <f>L2245*K2245</f>
        <v>0</v>
      </c>
      <c r="N2245" s="35">
        <v>4690368021920</v>
      </c>
    </row>
    <row r="2246" spans="1:14" ht="36" customHeight="1" outlineLevel="3" x14ac:dyDescent="0.2">
      <c r="A2246" s="36" t="s">
        <v>2797</v>
      </c>
      <c r="B2246" s="37" t="str">
        <f>HYPERLINK("http://www.sedek.ru/upload/iblock/fc5/tykva_rozovyy_banan.jpg","фото")</f>
        <v>фото</v>
      </c>
      <c r="C2246" s="38"/>
      <c r="D2246" s="38"/>
      <c r="E2246" s="39"/>
      <c r="F2246" s="39" t="s">
        <v>2798</v>
      </c>
      <c r="G2246" s="40">
        <v>1</v>
      </c>
      <c r="H2246" s="39" t="s">
        <v>101</v>
      </c>
      <c r="I2246" s="39" t="s">
        <v>102</v>
      </c>
      <c r="J2246" s="41">
        <v>1500</v>
      </c>
      <c r="K2246" s="42">
        <v>20</v>
      </c>
      <c r="L2246" s="43"/>
      <c r="M2246" s="43">
        <f>L2246*K2246</f>
        <v>0</v>
      </c>
      <c r="N2246" s="35">
        <v>4690368037730</v>
      </c>
    </row>
    <row r="2247" spans="1:14" ht="36" customHeight="1" outlineLevel="3" x14ac:dyDescent="0.2">
      <c r="A2247" s="45">
        <v>16418</v>
      </c>
      <c r="B2247" s="37" t="str">
        <f>HYPERLINK("http://sedek.ru/upload/iblock/b1a/tykva_rossiyanka.jpg","фото")</f>
        <v>фото</v>
      </c>
      <c r="C2247" s="38"/>
      <c r="D2247" s="38"/>
      <c r="E2247" s="39"/>
      <c r="F2247" s="39" t="s">
        <v>2799</v>
      </c>
      <c r="G2247" s="40">
        <v>2</v>
      </c>
      <c r="H2247" s="39" t="s">
        <v>101</v>
      </c>
      <c r="I2247" s="39" t="s">
        <v>102</v>
      </c>
      <c r="J2247" s="41">
        <v>1500</v>
      </c>
      <c r="K2247" s="42">
        <v>22.9</v>
      </c>
      <c r="L2247" s="43"/>
      <c r="M2247" s="43">
        <f>L2247*K2247</f>
        <v>0</v>
      </c>
      <c r="N2247" s="35">
        <v>4690368022705</v>
      </c>
    </row>
    <row r="2248" spans="1:14" ht="36" customHeight="1" outlineLevel="3" x14ac:dyDescent="0.2">
      <c r="A2248" s="36" t="s">
        <v>2800</v>
      </c>
      <c r="B2248" s="37" t="str">
        <f>HYPERLINK("http://sedek.ru/upload/iblock/749/tykva_russkaya_kasha.jpg","фото")</f>
        <v>фото</v>
      </c>
      <c r="C2248" s="38"/>
      <c r="D2248" s="38"/>
      <c r="E2248" s="39"/>
      <c r="F2248" s="39" t="s">
        <v>2801</v>
      </c>
      <c r="G2248" s="40">
        <v>1</v>
      </c>
      <c r="H2248" s="39" t="s">
        <v>101</v>
      </c>
      <c r="I2248" s="39" t="s">
        <v>102</v>
      </c>
      <c r="J2248" s="41">
        <v>1500</v>
      </c>
      <c r="K2248" s="42">
        <v>28.9</v>
      </c>
      <c r="L2248" s="43"/>
      <c r="M2248" s="43">
        <f>L2248*K2248</f>
        <v>0</v>
      </c>
      <c r="N2248" s="35">
        <v>4690368021937</v>
      </c>
    </row>
    <row r="2249" spans="1:14" ht="36" customHeight="1" outlineLevel="3" x14ac:dyDescent="0.2">
      <c r="A2249" s="45">
        <v>13675</v>
      </c>
      <c r="B2249" s="37" t="str">
        <f>HYPERLINK("http://sedek.ru/upload/iblock/274/tykva_sakharnaya_bulava_muskatnaya.jpg","фото")</f>
        <v>фото</v>
      </c>
      <c r="C2249" s="38"/>
      <c r="D2249" s="38" t="s">
        <v>266</v>
      </c>
      <c r="E2249" s="39"/>
      <c r="F2249" s="39" t="s">
        <v>2802</v>
      </c>
      <c r="G2249" s="40">
        <v>1</v>
      </c>
      <c r="H2249" s="39" t="s">
        <v>101</v>
      </c>
      <c r="I2249" s="39" t="s">
        <v>102</v>
      </c>
      <c r="J2249" s="41">
        <v>1500</v>
      </c>
      <c r="K2249" s="42">
        <v>31</v>
      </c>
      <c r="L2249" s="43"/>
      <c r="M2249" s="43">
        <f>L2249*K2249</f>
        <v>0</v>
      </c>
      <c r="N2249" s="35">
        <v>4690368021838</v>
      </c>
    </row>
    <row r="2250" spans="1:14" ht="36" customHeight="1" outlineLevel="3" x14ac:dyDescent="0.2">
      <c r="A2250" s="45">
        <v>13663</v>
      </c>
      <c r="B2250" s="37" t="str">
        <f>HYPERLINK("http://sedek.ru/upload/iblock/82d/tykva_sakharnaya_golova.JPG","фото")</f>
        <v>фото</v>
      </c>
      <c r="C2250" s="38"/>
      <c r="D2250" s="38"/>
      <c r="E2250" s="39"/>
      <c r="F2250" s="39" t="s">
        <v>2803</v>
      </c>
      <c r="G2250" s="40">
        <v>1</v>
      </c>
      <c r="H2250" s="39" t="s">
        <v>101</v>
      </c>
      <c r="I2250" s="39" t="s">
        <v>102</v>
      </c>
      <c r="J2250" s="41">
        <v>1500</v>
      </c>
      <c r="K2250" s="42">
        <v>31.9</v>
      </c>
      <c r="L2250" s="43"/>
      <c r="M2250" s="43">
        <f>L2250*K2250</f>
        <v>0</v>
      </c>
      <c r="N2250" s="35">
        <v>4690368021944</v>
      </c>
    </row>
    <row r="2251" spans="1:14" ht="36" customHeight="1" outlineLevel="3" x14ac:dyDescent="0.2">
      <c r="A2251" s="36" t="s">
        <v>2804</v>
      </c>
      <c r="B2251" s="37" t="str">
        <f>HYPERLINK("http://sedek.ru/upload/iblock/0d5/tykva_sakharnaya_malyshka.jpg","фото")</f>
        <v>фото</v>
      </c>
      <c r="C2251" s="38"/>
      <c r="D2251" s="38"/>
      <c r="E2251" s="39"/>
      <c r="F2251" s="39" t="s">
        <v>2805</v>
      </c>
      <c r="G2251" s="40">
        <v>1</v>
      </c>
      <c r="H2251" s="39" t="s">
        <v>101</v>
      </c>
      <c r="I2251" s="39" t="s">
        <v>102</v>
      </c>
      <c r="J2251" s="41">
        <v>1500</v>
      </c>
      <c r="K2251" s="42">
        <v>22.7</v>
      </c>
      <c r="L2251" s="43"/>
      <c r="M2251" s="43">
        <f>L2251*K2251</f>
        <v>0</v>
      </c>
      <c r="N2251" s="35">
        <v>4690368014670</v>
      </c>
    </row>
    <row r="2252" spans="1:14" ht="36" customHeight="1" outlineLevel="3" x14ac:dyDescent="0.2">
      <c r="A2252" s="45">
        <v>13679</v>
      </c>
      <c r="B2252" s="37" t="str">
        <f>HYPERLINK("http://sedek.ru/upload/iblock/2bb/tykva_sakharnaya_tokio_f1.jpg","фото")</f>
        <v>фото</v>
      </c>
      <c r="C2252" s="38"/>
      <c r="D2252" s="38"/>
      <c r="E2252" s="39"/>
      <c r="F2252" s="39" t="s">
        <v>2806</v>
      </c>
      <c r="G2252" s="40">
        <v>1</v>
      </c>
      <c r="H2252" s="39" t="s">
        <v>101</v>
      </c>
      <c r="I2252" s="39" t="s">
        <v>102</v>
      </c>
      <c r="J2252" s="41">
        <v>1500</v>
      </c>
      <c r="K2252" s="42">
        <v>28.9</v>
      </c>
      <c r="L2252" s="43"/>
      <c r="M2252" s="43">
        <f>L2252*K2252</f>
        <v>0</v>
      </c>
      <c r="N2252" s="35">
        <v>4690368021982</v>
      </c>
    </row>
    <row r="2253" spans="1:14" ht="36" customHeight="1" outlineLevel="3" x14ac:dyDescent="0.2">
      <c r="A2253" s="36" t="s">
        <v>2807</v>
      </c>
      <c r="B2253" s="37" t="str">
        <f>HYPERLINK("http://www.sedek.ru/upload/iblock/dc8/tykva_svekrovushka.JPG","фото")</f>
        <v>фото</v>
      </c>
      <c r="C2253" s="38"/>
      <c r="D2253" s="38" t="s">
        <v>266</v>
      </c>
      <c r="E2253" s="39"/>
      <c r="F2253" s="39" t="s">
        <v>2808</v>
      </c>
      <c r="G2253" s="40">
        <v>1</v>
      </c>
      <c r="H2253" s="39" t="s">
        <v>101</v>
      </c>
      <c r="I2253" s="39" t="s">
        <v>102</v>
      </c>
      <c r="J2253" s="41">
        <v>1500</v>
      </c>
      <c r="K2253" s="42">
        <v>28.4</v>
      </c>
      <c r="L2253" s="43"/>
      <c r="M2253" s="43">
        <f>L2253*K2253</f>
        <v>0</v>
      </c>
      <c r="N2253" s="35">
        <v>4690368021951</v>
      </c>
    </row>
    <row r="2254" spans="1:14" ht="36" customHeight="1" outlineLevel="3" x14ac:dyDescent="0.2">
      <c r="A2254" s="45">
        <v>14045</v>
      </c>
      <c r="B2254" s="37" t="str">
        <f>HYPERLINK("http://sedek.ru/upload/iblock/7fb/tykva_spagetti.jpg","фото")</f>
        <v>фото</v>
      </c>
      <c r="C2254" s="38"/>
      <c r="D2254" s="38"/>
      <c r="E2254" s="39"/>
      <c r="F2254" s="39" t="s">
        <v>2809</v>
      </c>
      <c r="G2254" s="40">
        <v>2</v>
      </c>
      <c r="H2254" s="39" t="s">
        <v>101</v>
      </c>
      <c r="I2254" s="39" t="s">
        <v>102</v>
      </c>
      <c r="J2254" s="41">
        <v>1500</v>
      </c>
      <c r="K2254" s="42">
        <v>25.6</v>
      </c>
      <c r="L2254" s="43"/>
      <c r="M2254" s="43">
        <f>L2254*K2254</f>
        <v>0</v>
      </c>
      <c r="N2254" s="35">
        <v>4690368010016</v>
      </c>
    </row>
    <row r="2255" spans="1:14" ht="36" customHeight="1" outlineLevel="3" x14ac:dyDescent="0.2">
      <c r="A2255" s="45">
        <v>15625</v>
      </c>
      <c r="B2255" s="37" t="str">
        <f>HYPERLINK("http://www.sedek.ru/upload/iblock/6d8/tykva_stofuntovaya.jpg","фото")</f>
        <v>фото</v>
      </c>
      <c r="C2255" s="38"/>
      <c r="D2255" s="38"/>
      <c r="E2255" s="39"/>
      <c r="F2255" s="39" t="s">
        <v>2810</v>
      </c>
      <c r="G2255" s="40">
        <v>2</v>
      </c>
      <c r="H2255" s="39" t="s">
        <v>101</v>
      </c>
      <c r="I2255" s="39" t="s">
        <v>102</v>
      </c>
      <c r="J2255" s="41">
        <v>1500</v>
      </c>
      <c r="K2255" s="42">
        <v>16.7</v>
      </c>
      <c r="L2255" s="43"/>
      <c r="M2255" s="43">
        <f>L2255*K2255</f>
        <v>0</v>
      </c>
      <c r="N2255" s="35">
        <v>4607149406333</v>
      </c>
    </row>
    <row r="2256" spans="1:14" ht="36" customHeight="1" outlineLevel="3" x14ac:dyDescent="0.2">
      <c r="A2256" s="45">
        <v>15283</v>
      </c>
      <c r="B2256" s="37" t="str">
        <f>HYPERLINK("http://sedek.ru/upload/iblock/0eb/tykva_suvenir.jpg","фото")</f>
        <v>фото</v>
      </c>
      <c r="C2256" s="38"/>
      <c r="D2256" s="38"/>
      <c r="E2256" s="39"/>
      <c r="F2256" s="39" t="s">
        <v>2811</v>
      </c>
      <c r="G2256" s="40">
        <v>1</v>
      </c>
      <c r="H2256" s="39" t="s">
        <v>101</v>
      </c>
      <c r="I2256" s="39" t="s">
        <v>102</v>
      </c>
      <c r="J2256" s="41">
        <v>2500</v>
      </c>
      <c r="K2256" s="42">
        <v>20.5</v>
      </c>
      <c r="L2256" s="43"/>
      <c r="M2256" s="43">
        <f>L2256*K2256</f>
        <v>0</v>
      </c>
      <c r="N2256" s="35">
        <v>4607116266168</v>
      </c>
    </row>
    <row r="2257" spans="1:14" ht="36" customHeight="1" outlineLevel="3" x14ac:dyDescent="0.2">
      <c r="A2257" s="45">
        <v>13664</v>
      </c>
      <c r="B2257" s="37" t="str">
        <f>HYPERLINK("http://sedek.ru/upload/iblock/03a/tykva_tatyana.jpg","фото")</f>
        <v>фото</v>
      </c>
      <c r="C2257" s="38"/>
      <c r="D2257" s="38"/>
      <c r="E2257" s="39"/>
      <c r="F2257" s="39" t="s">
        <v>2812</v>
      </c>
      <c r="G2257" s="44">
        <v>1.5</v>
      </c>
      <c r="H2257" s="39" t="s">
        <v>101</v>
      </c>
      <c r="I2257" s="39" t="s">
        <v>102</v>
      </c>
      <c r="J2257" s="41">
        <v>1500</v>
      </c>
      <c r="K2257" s="42">
        <v>30.3</v>
      </c>
      <c r="L2257" s="43"/>
      <c r="M2257" s="43">
        <f>L2257*K2257</f>
        <v>0</v>
      </c>
      <c r="N2257" s="35">
        <v>4690368021968</v>
      </c>
    </row>
    <row r="2258" spans="1:14" ht="36" customHeight="1" outlineLevel="3" x14ac:dyDescent="0.2">
      <c r="A2258" s="36" t="s">
        <v>2813</v>
      </c>
      <c r="B2258" s="37" t="str">
        <f>HYPERLINK("http://sedek.ru/upload/iblock/a85/tykva_teshchenka_f1.jpg","фото")</f>
        <v>фото</v>
      </c>
      <c r="C2258" s="38"/>
      <c r="D2258" s="38"/>
      <c r="E2258" s="39"/>
      <c r="F2258" s="39" t="s">
        <v>2814</v>
      </c>
      <c r="G2258" s="40">
        <v>1</v>
      </c>
      <c r="H2258" s="39" t="s">
        <v>101</v>
      </c>
      <c r="I2258" s="39" t="s">
        <v>102</v>
      </c>
      <c r="J2258" s="41">
        <v>1500</v>
      </c>
      <c r="K2258" s="42">
        <v>28.4</v>
      </c>
      <c r="L2258" s="43"/>
      <c r="M2258" s="43">
        <f>L2258*K2258</f>
        <v>0</v>
      </c>
      <c r="N2258" s="35">
        <v>4690368021975</v>
      </c>
    </row>
    <row r="2259" spans="1:14" ht="36" customHeight="1" outlineLevel="3" x14ac:dyDescent="0.2">
      <c r="A2259" s="45">
        <v>17133</v>
      </c>
      <c r="B2259" s="37" t="str">
        <f>HYPERLINK("http://sedek.ru/upload/iblock/040/tykva_dekorativnaya_turetskiy_tyurban.jpg","фото")</f>
        <v>фото</v>
      </c>
      <c r="C2259" s="38"/>
      <c r="D2259" s="38"/>
      <c r="E2259" s="39"/>
      <c r="F2259" s="39" t="s">
        <v>2815</v>
      </c>
      <c r="G2259" s="40">
        <v>1</v>
      </c>
      <c r="H2259" s="39" t="s">
        <v>101</v>
      </c>
      <c r="I2259" s="39" t="s">
        <v>102</v>
      </c>
      <c r="J2259" s="41">
        <v>2500</v>
      </c>
      <c r="K2259" s="42">
        <v>23.5</v>
      </c>
      <c r="L2259" s="43"/>
      <c r="M2259" s="43">
        <f>L2259*K2259</f>
        <v>0</v>
      </c>
      <c r="N2259" s="35">
        <v>4690368023450</v>
      </c>
    </row>
    <row r="2260" spans="1:14" ht="36" customHeight="1" outlineLevel="3" x14ac:dyDescent="0.2">
      <c r="A2260" s="36" t="s">
        <v>2816</v>
      </c>
      <c r="B2260" s="37" t="str">
        <f>HYPERLINK("http://sedek.ru/upload/iblock/c42/tykva_ukrashenie_sada_smes.jpg","фото")</f>
        <v>фото</v>
      </c>
      <c r="C2260" s="38"/>
      <c r="D2260" s="38"/>
      <c r="E2260" s="39"/>
      <c r="F2260" s="39" t="s">
        <v>2817</v>
      </c>
      <c r="G2260" s="40">
        <v>1</v>
      </c>
      <c r="H2260" s="39" t="s">
        <v>101</v>
      </c>
      <c r="I2260" s="39" t="s">
        <v>102</v>
      </c>
      <c r="J2260" s="41">
        <v>1500</v>
      </c>
      <c r="K2260" s="42">
        <v>28.9</v>
      </c>
      <c r="L2260" s="43"/>
      <c r="M2260" s="43">
        <f>L2260*K2260</f>
        <v>0</v>
      </c>
      <c r="N2260" s="35">
        <v>4690368021845</v>
      </c>
    </row>
    <row r="2261" spans="1:14" ht="36" customHeight="1" outlineLevel="3" x14ac:dyDescent="0.2">
      <c r="A2261" s="45">
        <v>15092</v>
      </c>
      <c r="B2261" s="37" t="str">
        <f>HYPERLINK("http://www.sedek.ru/upload/iblock/23e/tykva_ulybka.JPG","фото")</f>
        <v>фото</v>
      </c>
      <c r="C2261" s="38"/>
      <c r="D2261" s="38"/>
      <c r="E2261" s="39"/>
      <c r="F2261" s="39" t="s">
        <v>2818</v>
      </c>
      <c r="G2261" s="44">
        <v>1.5</v>
      </c>
      <c r="H2261" s="39" t="s">
        <v>101</v>
      </c>
      <c r="I2261" s="39" t="s">
        <v>102</v>
      </c>
      <c r="J2261" s="41">
        <v>1500</v>
      </c>
      <c r="K2261" s="42">
        <v>26.4</v>
      </c>
      <c r="L2261" s="43"/>
      <c r="M2261" s="43">
        <f>L2261*K2261</f>
        <v>0</v>
      </c>
      <c r="N2261" s="35">
        <v>4607116262122</v>
      </c>
    </row>
    <row r="2262" spans="1:14" ht="36" customHeight="1" outlineLevel="3" x14ac:dyDescent="0.2">
      <c r="A2262" s="45">
        <v>14929</v>
      </c>
      <c r="B2262" s="37" t="str">
        <f>HYPERLINK("http://sedek.ru/upload/iblock/d1f/tykva_dekorativnaya_fango.jpg","фото")</f>
        <v>фото</v>
      </c>
      <c r="C2262" s="38"/>
      <c r="D2262" s="38"/>
      <c r="E2262" s="39"/>
      <c r="F2262" s="39" t="s">
        <v>2819</v>
      </c>
      <c r="G2262" s="40">
        <v>1</v>
      </c>
      <c r="H2262" s="39" t="s">
        <v>101</v>
      </c>
      <c r="I2262" s="39" t="s">
        <v>102</v>
      </c>
      <c r="J2262" s="41">
        <v>2500</v>
      </c>
      <c r="K2262" s="42">
        <v>48.7</v>
      </c>
      <c r="L2262" s="43"/>
      <c r="M2262" s="43">
        <f>L2262*K2262</f>
        <v>0</v>
      </c>
      <c r="N2262" s="35">
        <v>4690368017787</v>
      </c>
    </row>
    <row r="2263" spans="1:14" ht="36" customHeight="1" outlineLevel="3" x14ac:dyDescent="0.2">
      <c r="A2263" s="45">
        <v>13955</v>
      </c>
      <c r="B2263" s="37" t="str">
        <f>HYPERLINK("http://sedek.ru/upload/iblock/adf/tykva_tsarevna_lyagushka.jpg","фото")</f>
        <v>фото</v>
      </c>
      <c r="C2263" s="38"/>
      <c r="D2263" s="38" t="s">
        <v>266</v>
      </c>
      <c r="E2263" s="39"/>
      <c r="F2263" s="39" t="s">
        <v>2820</v>
      </c>
      <c r="G2263" s="40">
        <v>2</v>
      </c>
      <c r="H2263" s="39" t="s">
        <v>101</v>
      </c>
      <c r="I2263" s="39" t="s">
        <v>102</v>
      </c>
      <c r="J2263" s="41">
        <v>1500</v>
      </c>
      <c r="K2263" s="42">
        <v>38.9</v>
      </c>
      <c r="L2263" s="43"/>
      <c r="M2263" s="43">
        <f>L2263*K2263</f>
        <v>0</v>
      </c>
      <c r="N2263" s="35">
        <v>4690368013079</v>
      </c>
    </row>
    <row r="2264" spans="1:14" ht="12" customHeight="1" outlineLevel="2" x14ac:dyDescent="0.2">
      <c r="A2264" s="22"/>
      <c r="B2264" s="23"/>
      <c r="C2264" s="23"/>
      <c r="D2264" s="23"/>
      <c r="E2264" s="24"/>
      <c r="F2264" s="24" t="s">
        <v>2821</v>
      </c>
      <c r="G2264" s="24"/>
      <c r="H2264" s="24"/>
      <c r="I2264" s="24"/>
      <c r="J2264" s="24"/>
      <c r="K2264" s="24"/>
      <c r="L2264" s="24"/>
      <c r="M2264" s="24"/>
      <c r="N2264" s="25"/>
    </row>
    <row r="2265" spans="1:14" ht="36" customHeight="1" outlineLevel="3" x14ac:dyDescent="0.2">
      <c r="A2265" s="45">
        <v>13474</v>
      </c>
      <c r="B2265" s="37" t="str">
        <f>HYPERLINK("http://sedek.ru/upload/iblock/7ee/ukrop_avrora.jpg","фото")</f>
        <v>фото</v>
      </c>
      <c r="C2265" s="38"/>
      <c r="D2265" s="38"/>
      <c r="E2265" s="39"/>
      <c r="F2265" s="39" t="s">
        <v>2822</v>
      </c>
      <c r="G2265" s="40">
        <v>2</v>
      </c>
      <c r="H2265" s="39" t="s">
        <v>101</v>
      </c>
      <c r="I2265" s="39" t="s">
        <v>102</v>
      </c>
      <c r="J2265" s="41">
        <v>2000</v>
      </c>
      <c r="K2265" s="42">
        <v>15.6</v>
      </c>
      <c r="L2265" s="43"/>
      <c r="M2265" s="43">
        <f>L2265*K2265</f>
        <v>0</v>
      </c>
      <c r="N2265" s="35">
        <v>4607149400577</v>
      </c>
    </row>
    <row r="2266" spans="1:14" ht="36" customHeight="1" outlineLevel="3" x14ac:dyDescent="0.2">
      <c r="A2266" s="36" t="s">
        <v>2823</v>
      </c>
      <c r="B2266" s="37" t="str">
        <f>HYPERLINK("http://www.sedek.ru/upload/iblock/1ff/ukrop_alligator.jpg","фото")</f>
        <v>фото</v>
      </c>
      <c r="C2266" s="38"/>
      <c r="D2266" s="38"/>
      <c r="E2266" s="39"/>
      <c r="F2266" s="39" t="s">
        <v>2824</v>
      </c>
      <c r="G2266" s="40">
        <v>1</v>
      </c>
      <c r="H2266" s="39" t="s">
        <v>101</v>
      </c>
      <c r="I2266" s="39" t="s">
        <v>102</v>
      </c>
      <c r="J2266" s="41">
        <v>2000</v>
      </c>
      <c r="K2266" s="42">
        <v>15.6</v>
      </c>
      <c r="L2266" s="43"/>
      <c r="M2266" s="43">
        <f>L2266*K2266</f>
        <v>0</v>
      </c>
      <c r="N2266" s="35">
        <v>4690368033459</v>
      </c>
    </row>
    <row r="2267" spans="1:14" ht="36" customHeight="1" outlineLevel="3" x14ac:dyDescent="0.2">
      <c r="A2267" s="46">
        <v>13840</v>
      </c>
      <c r="B2267" s="47" t="str">
        <f>HYPERLINK("http://sedek.ru/upload/iblock/f75/ukrop_vityaz.jpg","фото")</f>
        <v>фото</v>
      </c>
      <c r="C2267" s="48"/>
      <c r="D2267" s="48"/>
      <c r="E2267" s="49"/>
      <c r="F2267" s="49" t="s">
        <v>2825</v>
      </c>
      <c r="G2267" s="50">
        <v>2</v>
      </c>
      <c r="H2267" s="49" t="s">
        <v>101</v>
      </c>
      <c r="I2267" s="49" t="s">
        <v>102</v>
      </c>
      <c r="J2267" s="51">
        <v>2000</v>
      </c>
      <c r="K2267" s="52">
        <v>19.5</v>
      </c>
      <c r="L2267" s="53"/>
      <c r="M2267" s="53">
        <f>L2267*K2267</f>
        <v>0</v>
      </c>
      <c r="N2267" s="35">
        <v>4690368017565</v>
      </c>
    </row>
    <row r="2268" spans="1:14" ht="24" customHeight="1" outlineLevel="3" x14ac:dyDescent="0.2">
      <c r="A2268" s="45">
        <v>16125</v>
      </c>
      <c r="B2268" s="37" t="str">
        <f>HYPERLINK("http://sedek.ru/upload/iblock/f27/ukrop_golubaya_el.jpg","фото")</f>
        <v>фото</v>
      </c>
      <c r="C2268" s="38"/>
      <c r="D2268" s="38"/>
      <c r="E2268" s="39"/>
      <c r="F2268" s="39" t="s">
        <v>2826</v>
      </c>
      <c r="G2268" s="40">
        <v>2</v>
      </c>
      <c r="H2268" s="39" t="s">
        <v>101</v>
      </c>
      <c r="I2268" s="39" t="s">
        <v>102</v>
      </c>
      <c r="J2268" s="41">
        <v>2000</v>
      </c>
      <c r="K2268" s="42">
        <v>20.5</v>
      </c>
      <c r="L2268" s="43"/>
      <c r="M2268" s="43">
        <f>L2268*K2268</f>
        <v>0</v>
      </c>
      <c r="N2268" s="35">
        <v>4607149405275</v>
      </c>
    </row>
    <row r="2269" spans="1:14" ht="24" customHeight="1" outlineLevel="3" x14ac:dyDescent="0.2">
      <c r="A2269" s="45">
        <v>16125</v>
      </c>
      <c r="B2269" s="37" t="str">
        <f>HYPERLINK("http://sedek.ru/upload/iblock/f27/ukrop_golubaya_el.jpg","фото")</f>
        <v>фото</v>
      </c>
      <c r="C2269" s="38"/>
      <c r="D2269" s="38"/>
      <c r="E2269" s="39"/>
      <c r="F2269" s="39" t="s">
        <v>2827</v>
      </c>
      <c r="G2269" s="40">
        <v>2</v>
      </c>
      <c r="H2269" s="39" t="s">
        <v>101</v>
      </c>
      <c r="I2269" s="39" t="s">
        <v>287</v>
      </c>
      <c r="J2269" s="41">
        <v>2000</v>
      </c>
      <c r="K2269" s="42">
        <v>8.8000000000000007</v>
      </c>
      <c r="L2269" s="43"/>
      <c r="M2269" s="43">
        <f>L2269*K2269</f>
        <v>0</v>
      </c>
      <c r="N2269" s="35">
        <v>4607149407675</v>
      </c>
    </row>
    <row r="2270" spans="1:14" ht="36" customHeight="1" outlineLevel="3" x14ac:dyDescent="0.2">
      <c r="A2270" s="45">
        <v>14674</v>
      </c>
      <c r="B2270" s="37" t="str">
        <f>HYPERLINK("http://www.sedek.ru/upload/iblock/2c4/ukrop_gribovskiy.jpg","фото")</f>
        <v>фото</v>
      </c>
      <c r="C2270" s="38"/>
      <c r="D2270" s="38"/>
      <c r="E2270" s="39"/>
      <c r="F2270" s="39" t="s">
        <v>2828</v>
      </c>
      <c r="G2270" s="40">
        <v>2</v>
      </c>
      <c r="H2270" s="39" t="s">
        <v>101</v>
      </c>
      <c r="I2270" s="39" t="s">
        <v>102</v>
      </c>
      <c r="J2270" s="41">
        <v>2000</v>
      </c>
      <c r="K2270" s="42">
        <v>15.6</v>
      </c>
      <c r="L2270" s="43"/>
      <c r="M2270" s="43">
        <f>L2270*K2270</f>
        <v>0</v>
      </c>
      <c r="N2270" s="35">
        <v>4690368015295</v>
      </c>
    </row>
    <row r="2271" spans="1:14" ht="36" customHeight="1" outlineLevel="3" x14ac:dyDescent="0.2">
      <c r="A2271" s="45">
        <v>13851</v>
      </c>
      <c r="B2271" s="37" t="str">
        <f>HYPERLINK("http://www.sedek.ru/upload/iblock/206/ukrop_delikat.jpg","фото")</f>
        <v>фото</v>
      </c>
      <c r="C2271" s="38"/>
      <c r="D2271" s="38"/>
      <c r="E2271" s="39"/>
      <c r="F2271" s="39" t="s">
        <v>2829</v>
      </c>
      <c r="G2271" s="40">
        <v>2</v>
      </c>
      <c r="H2271" s="39" t="s">
        <v>101</v>
      </c>
      <c r="I2271" s="39" t="s">
        <v>102</v>
      </c>
      <c r="J2271" s="41">
        <v>2000</v>
      </c>
      <c r="K2271" s="42">
        <v>20</v>
      </c>
      <c r="L2271" s="43"/>
      <c r="M2271" s="43">
        <f>L2271*K2271</f>
        <v>0</v>
      </c>
      <c r="N2271" s="35">
        <v>4607116262139</v>
      </c>
    </row>
    <row r="2272" spans="1:14" ht="36" customHeight="1" outlineLevel="3" x14ac:dyDescent="0.2">
      <c r="A2272" s="45">
        <v>13851</v>
      </c>
      <c r="B2272" s="37" t="str">
        <f>HYPERLINK("http://www.sedek.ru/upload/iblock/206/ukrop_delikat.jpg","фото")</f>
        <v>фото</v>
      </c>
      <c r="C2272" s="38"/>
      <c r="D2272" s="38"/>
      <c r="E2272" s="39"/>
      <c r="F2272" s="39" t="s">
        <v>2830</v>
      </c>
      <c r="G2272" s="40">
        <v>2</v>
      </c>
      <c r="H2272" s="39" t="s">
        <v>101</v>
      </c>
      <c r="I2272" s="39" t="s">
        <v>287</v>
      </c>
      <c r="J2272" s="41">
        <v>2000</v>
      </c>
      <c r="K2272" s="42">
        <v>6.8</v>
      </c>
      <c r="L2272" s="43"/>
      <c r="M2272" s="43">
        <f>L2272*K2272</f>
        <v>0</v>
      </c>
      <c r="N2272" s="35">
        <v>4690368005579</v>
      </c>
    </row>
    <row r="2273" spans="1:14" ht="24" customHeight="1" outlineLevel="3" x14ac:dyDescent="0.2">
      <c r="A2273" s="46">
        <v>16167</v>
      </c>
      <c r="B2273" s="47" t="str">
        <f>HYPERLINK("http://www.sedek.ru/upload/iblock/169/ukrop_dill.jpg","фото")</f>
        <v>фото</v>
      </c>
      <c r="C2273" s="48"/>
      <c r="D2273" s="48"/>
      <c r="E2273" s="49"/>
      <c r="F2273" s="49" t="s">
        <v>2831</v>
      </c>
      <c r="G2273" s="50">
        <v>2</v>
      </c>
      <c r="H2273" s="49" t="s">
        <v>101</v>
      </c>
      <c r="I2273" s="49" t="s">
        <v>102</v>
      </c>
      <c r="J2273" s="51">
        <v>2000</v>
      </c>
      <c r="K2273" s="52">
        <v>17.899999999999999</v>
      </c>
      <c r="L2273" s="53"/>
      <c r="M2273" s="53">
        <f>L2273*K2273</f>
        <v>0</v>
      </c>
      <c r="N2273" s="35">
        <v>4607116262146</v>
      </c>
    </row>
    <row r="2274" spans="1:14" ht="24" customHeight="1" outlineLevel="3" x14ac:dyDescent="0.2">
      <c r="A2274" s="71">
        <v>16167</v>
      </c>
      <c r="B2274" s="72" t="str">
        <f>HYPERLINK("http://www.sedek.ru/upload/iblock/169/ukrop_dill.jpg","фото")</f>
        <v>фото</v>
      </c>
      <c r="C2274" s="73"/>
      <c r="D2274" s="73"/>
      <c r="E2274" s="74"/>
      <c r="F2274" s="74" t="s">
        <v>2832</v>
      </c>
      <c r="G2274" s="75">
        <v>2</v>
      </c>
      <c r="H2274" s="74" t="s">
        <v>101</v>
      </c>
      <c r="I2274" s="74" t="s">
        <v>287</v>
      </c>
      <c r="J2274" s="76">
        <v>2000</v>
      </c>
      <c r="K2274" s="77">
        <v>7.3</v>
      </c>
      <c r="L2274" s="78"/>
      <c r="M2274" s="78">
        <f>L2274*K2274</f>
        <v>0</v>
      </c>
      <c r="N2274" s="79">
        <v>4690368000208</v>
      </c>
    </row>
    <row r="2275" spans="1:14" ht="36" customHeight="1" outlineLevel="3" x14ac:dyDescent="0.2">
      <c r="A2275" s="45">
        <v>14743</v>
      </c>
      <c r="B2275" s="37" t="str">
        <f>HYPERLINK("http://sedek.ru/upload/iblock/43b/ukrop_dushistyy_buket.jpg","фото")</f>
        <v>фото</v>
      </c>
      <c r="C2275" s="38"/>
      <c r="D2275" s="38"/>
      <c r="E2275" s="39"/>
      <c r="F2275" s="39" t="s">
        <v>2833</v>
      </c>
      <c r="G2275" s="40">
        <v>2</v>
      </c>
      <c r="H2275" s="39" t="s">
        <v>101</v>
      </c>
      <c r="I2275" s="39" t="s">
        <v>102</v>
      </c>
      <c r="J2275" s="41">
        <v>2000</v>
      </c>
      <c r="K2275" s="42">
        <v>20</v>
      </c>
      <c r="L2275" s="43"/>
      <c r="M2275" s="43">
        <f>L2275*K2275</f>
        <v>0</v>
      </c>
      <c r="N2275" s="35">
        <v>4607149405244</v>
      </c>
    </row>
    <row r="2276" spans="1:14" ht="24" customHeight="1" outlineLevel="3" x14ac:dyDescent="0.2">
      <c r="A2276" s="45">
        <v>15075</v>
      </c>
      <c r="B2276" s="37" t="str">
        <f>HYPERLINK("http://sedek.ru/upload/iblock/a81/ukrop_elochki_sosenochki.jpg","фото")</f>
        <v>фото</v>
      </c>
      <c r="C2276" s="38"/>
      <c r="D2276" s="38"/>
      <c r="E2276" s="39"/>
      <c r="F2276" s="39" t="s">
        <v>2834</v>
      </c>
      <c r="G2276" s="40">
        <v>2</v>
      </c>
      <c r="H2276" s="39" t="s">
        <v>101</v>
      </c>
      <c r="I2276" s="39" t="s">
        <v>102</v>
      </c>
      <c r="J2276" s="41">
        <v>2000</v>
      </c>
      <c r="K2276" s="42">
        <v>20</v>
      </c>
      <c r="L2276" s="43"/>
      <c r="M2276" s="43">
        <f>L2276*K2276</f>
        <v>0</v>
      </c>
      <c r="N2276" s="35">
        <v>4607149405251</v>
      </c>
    </row>
    <row r="2277" spans="1:14" ht="24" customHeight="1" outlineLevel="3" x14ac:dyDescent="0.2">
      <c r="A2277" s="45">
        <v>15075</v>
      </c>
      <c r="B2277" s="37" t="str">
        <f>HYPERLINK("http://sedek.ru/upload/iblock/a81/ukrop_elochki_sosenochki.jpg","фото")</f>
        <v>фото</v>
      </c>
      <c r="C2277" s="38"/>
      <c r="D2277" s="38"/>
      <c r="E2277" s="39"/>
      <c r="F2277" s="39" t="s">
        <v>2835</v>
      </c>
      <c r="G2277" s="40">
        <v>2</v>
      </c>
      <c r="H2277" s="39" t="s">
        <v>101</v>
      </c>
      <c r="I2277" s="39" t="s">
        <v>287</v>
      </c>
      <c r="J2277" s="41">
        <v>2000</v>
      </c>
      <c r="K2277" s="42">
        <v>8.5</v>
      </c>
      <c r="L2277" s="43"/>
      <c r="M2277" s="43">
        <f>L2277*K2277</f>
        <v>0</v>
      </c>
      <c r="N2277" s="35">
        <v>4607149407668</v>
      </c>
    </row>
    <row r="2278" spans="1:14" ht="24" customHeight="1" outlineLevel="3" x14ac:dyDescent="0.2">
      <c r="A2278" s="45">
        <v>16034</v>
      </c>
      <c r="B2278" s="37" t="str">
        <f>HYPERLINK("http://www.sedek.ru/upload/iblock/edc/ukrop_zontik.jpg","фото")</f>
        <v>фото</v>
      </c>
      <c r="C2278" s="38"/>
      <c r="D2278" s="38"/>
      <c r="E2278" s="39"/>
      <c r="F2278" s="39" t="s">
        <v>2836</v>
      </c>
      <c r="G2278" s="40">
        <v>2</v>
      </c>
      <c r="H2278" s="39" t="s">
        <v>101</v>
      </c>
      <c r="I2278" s="39" t="s">
        <v>102</v>
      </c>
      <c r="J2278" s="41">
        <v>2000</v>
      </c>
      <c r="K2278" s="42">
        <v>18.8</v>
      </c>
      <c r="L2278" s="43"/>
      <c r="M2278" s="43">
        <f>L2278*K2278</f>
        <v>0</v>
      </c>
      <c r="N2278" s="35">
        <v>4607116262153</v>
      </c>
    </row>
    <row r="2279" spans="1:14" ht="36" customHeight="1" outlineLevel="3" x14ac:dyDescent="0.2">
      <c r="A2279" s="45">
        <v>13961</v>
      </c>
      <c r="B2279" s="37" t="str">
        <f>HYPERLINK("http://sedek.ru/upload/iblock/06d/ukrop_kibray.jpg","фото")</f>
        <v>фото</v>
      </c>
      <c r="C2279" s="38"/>
      <c r="D2279" s="38"/>
      <c r="E2279" s="39"/>
      <c r="F2279" s="39" t="s">
        <v>2837</v>
      </c>
      <c r="G2279" s="40">
        <v>2</v>
      </c>
      <c r="H2279" s="39" t="s">
        <v>101</v>
      </c>
      <c r="I2279" s="39" t="s">
        <v>102</v>
      </c>
      <c r="J2279" s="41">
        <v>2000</v>
      </c>
      <c r="K2279" s="42">
        <v>15.6</v>
      </c>
      <c r="L2279" s="43"/>
      <c r="M2279" s="43">
        <f>L2279*K2279</f>
        <v>0</v>
      </c>
      <c r="N2279" s="35">
        <v>4607149400058</v>
      </c>
    </row>
    <row r="2280" spans="1:14" ht="36" customHeight="1" outlineLevel="3" x14ac:dyDescent="0.2">
      <c r="A2280" s="45">
        <v>13961</v>
      </c>
      <c r="B2280" s="37" t="str">
        <f>HYPERLINK("http://sedek.ru/upload/iblock/06d/ukrop_kibray.jpg","фото")</f>
        <v>фото</v>
      </c>
      <c r="C2280" s="38"/>
      <c r="D2280" s="38"/>
      <c r="E2280" s="39"/>
      <c r="F2280" s="39" t="s">
        <v>2838</v>
      </c>
      <c r="G2280" s="40">
        <v>2</v>
      </c>
      <c r="H2280" s="39" t="s">
        <v>101</v>
      </c>
      <c r="I2280" s="39" t="s">
        <v>287</v>
      </c>
      <c r="J2280" s="41">
        <v>2000</v>
      </c>
      <c r="K2280" s="42">
        <v>6.5</v>
      </c>
      <c r="L2280" s="43"/>
      <c r="M2280" s="43">
        <f>L2280*K2280</f>
        <v>0</v>
      </c>
      <c r="N2280" s="35">
        <v>4607149402731</v>
      </c>
    </row>
    <row r="2281" spans="1:14" ht="36" customHeight="1" outlineLevel="3" x14ac:dyDescent="0.2">
      <c r="A2281" s="36" t="s">
        <v>2839</v>
      </c>
      <c r="B2281" s="37" t="str">
        <f>HYPERLINK("http://www.sedek.ru/upload/iblock/486/drfqeco11g4bsi0t7sbt144uoaabeemz/ukrop_korolevskiy.png","фото")</f>
        <v>фото</v>
      </c>
      <c r="C2281" s="38"/>
      <c r="D2281" s="38"/>
      <c r="E2281" s="39"/>
      <c r="F2281" s="39" t="s">
        <v>2840</v>
      </c>
      <c r="G2281" s="40">
        <v>2</v>
      </c>
      <c r="H2281" s="39" t="s">
        <v>101</v>
      </c>
      <c r="I2281" s="39" t="s">
        <v>102</v>
      </c>
      <c r="J2281" s="41">
        <v>2000</v>
      </c>
      <c r="K2281" s="42">
        <v>20</v>
      </c>
      <c r="L2281" s="43"/>
      <c r="M2281" s="43">
        <f>L2281*K2281</f>
        <v>0</v>
      </c>
      <c r="N2281" s="35">
        <v>4690368039482</v>
      </c>
    </row>
    <row r="2282" spans="1:14" ht="36" customHeight="1" outlineLevel="3" x14ac:dyDescent="0.2">
      <c r="A2282" s="36" t="s">
        <v>2841</v>
      </c>
      <c r="B2282" s="37" t="str">
        <f>HYPERLINK("http://www.sedek.ru/upload/iblock/39f/ukrop_kustistyy.jpg","Фото")</f>
        <v>Фото</v>
      </c>
      <c r="C2282" s="38"/>
      <c r="D2282" s="38"/>
      <c r="E2282" s="39"/>
      <c r="F2282" s="39" t="s">
        <v>2842</v>
      </c>
      <c r="G2282" s="40">
        <v>2</v>
      </c>
      <c r="H2282" s="39" t="s">
        <v>101</v>
      </c>
      <c r="I2282" s="39" t="s">
        <v>102</v>
      </c>
      <c r="J2282" s="41">
        <v>2000</v>
      </c>
      <c r="K2282" s="42">
        <v>20</v>
      </c>
      <c r="L2282" s="43"/>
      <c r="M2282" s="43">
        <f>L2282*K2282</f>
        <v>0</v>
      </c>
      <c r="N2282" s="35">
        <v>4690368030816</v>
      </c>
    </row>
    <row r="2283" spans="1:14" ht="36" customHeight="1" outlineLevel="3" x14ac:dyDescent="0.2">
      <c r="A2283" s="36" t="s">
        <v>2843</v>
      </c>
      <c r="B2283" s="37" t="str">
        <f>HYPERLINK("http://www.sedek.ru/upload/iblock/3be/ukrop_lesnogorodskiy.jpg","фото")</f>
        <v>фото</v>
      </c>
      <c r="C2283" s="38"/>
      <c r="D2283" s="38"/>
      <c r="E2283" s="39"/>
      <c r="F2283" s="39" t="s">
        <v>2844</v>
      </c>
      <c r="G2283" s="40">
        <v>2</v>
      </c>
      <c r="H2283" s="39" t="s">
        <v>101</v>
      </c>
      <c r="I2283" s="39" t="s">
        <v>102</v>
      </c>
      <c r="J2283" s="41">
        <v>2000</v>
      </c>
      <c r="K2283" s="42">
        <v>15.6</v>
      </c>
      <c r="L2283" s="43"/>
      <c r="M2283" s="43">
        <f>L2283*K2283</f>
        <v>0</v>
      </c>
      <c r="N2283" s="35">
        <v>4690368030823</v>
      </c>
    </row>
    <row r="2284" spans="1:14" ht="36" customHeight="1" outlineLevel="3" x14ac:dyDescent="0.2">
      <c r="A2284" s="45">
        <v>16409</v>
      </c>
      <c r="B2284" s="37" t="str">
        <f>HYPERLINK("http://sedek.ru/upload/iblock/362/ukrop_mamont.JPG","фото")</f>
        <v>фото</v>
      </c>
      <c r="C2284" s="38"/>
      <c r="D2284" s="38"/>
      <c r="E2284" s="39"/>
      <c r="F2284" s="39" t="s">
        <v>2845</v>
      </c>
      <c r="G2284" s="40">
        <v>2</v>
      </c>
      <c r="H2284" s="39" t="s">
        <v>101</v>
      </c>
      <c r="I2284" s="39" t="s">
        <v>102</v>
      </c>
      <c r="J2284" s="41">
        <v>2000</v>
      </c>
      <c r="K2284" s="42">
        <v>20</v>
      </c>
      <c r="L2284" s="43"/>
      <c r="M2284" s="43">
        <f>L2284*K2284</f>
        <v>0</v>
      </c>
      <c r="N2284" s="35">
        <v>4607149400584</v>
      </c>
    </row>
    <row r="2285" spans="1:14" ht="36" customHeight="1" outlineLevel="3" x14ac:dyDescent="0.2">
      <c r="A2285" s="45">
        <v>16409</v>
      </c>
      <c r="B2285" s="37" t="str">
        <f>HYPERLINK("http://sedek.ru/upload/iblock/362/ukrop_mamont.JPG","фото")</f>
        <v>фото</v>
      </c>
      <c r="C2285" s="38"/>
      <c r="D2285" s="38"/>
      <c r="E2285" s="39"/>
      <c r="F2285" s="39" t="s">
        <v>2846</v>
      </c>
      <c r="G2285" s="40">
        <v>2</v>
      </c>
      <c r="H2285" s="39" t="s">
        <v>101</v>
      </c>
      <c r="I2285" s="39" t="s">
        <v>287</v>
      </c>
      <c r="J2285" s="41">
        <v>2000</v>
      </c>
      <c r="K2285" s="42">
        <v>6.8</v>
      </c>
      <c r="L2285" s="43"/>
      <c r="M2285" s="43">
        <f>L2285*K2285</f>
        <v>0</v>
      </c>
      <c r="N2285" s="35">
        <v>4690368004749</v>
      </c>
    </row>
    <row r="2286" spans="1:14" ht="48" customHeight="1" outlineLevel="3" x14ac:dyDescent="0.2">
      <c r="A2286" s="45">
        <v>14558</v>
      </c>
      <c r="B2286" s="37" t="str">
        <f>HYPERLINK("http://sedek.ru/upload/iblock/1c9/ukrop_obilnolistnyy.jpg","фото")</f>
        <v>фото</v>
      </c>
      <c r="C2286" s="38"/>
      <c r="D2286" s="38"/>
      <c r="E2286" s="39"/>
      <c r="F2286" s="39" t="s">
        <v>2847</v>
      </c>
      <c r="G2286" s="40">
        <v>2</v>
      </c>
      <c r="H2286" s="39" t="s">
        <v>101</v>
      </c>
      <c r="I2286" s="39" t="s">
        <v>102</v>
      </c>
      <c r="J2286" s="41">
        <v>2000</v>
      </c>
      <c r="K2286" s="42">
        <v>15.6</v>
      </c>
      <c r="L2286" s="43"/>
      <c r="M2286" s="43">
        <f>L2286*K2286</f>
        <v>0</v>
      </c>
      <c r="N2286" s="35">
        <v>4607149400591</v>
      </c>
    </row>
    <row r="2287" spans="1:14" ht="36" customHeight="1" outlineLevel="3" x14ac:dyDescent="0.2">
      <c r="A2287" s="45">
        <v>14798</v>
      </c>
      <c r="B2287" s="37" t="str">
        <f>HYPERLINK("http://sedek.ru/upload/iblock/d52/ukrop_puchkovyy.jpg","фото")</f>
        <v>фото</v>
      </c>
      <c r="C2287" s="38"/>
      <c r="D2287" s="38"/>
      <c r="E2287" s="39"/>
      <c r="F2287" s="39" t="s">
        <v>2848</v>
      </c>
      <c r="G2287" s="40">
        <v>2</v>
      </c>
      <c r="H2287" s="39" t="s">
        <v>101</v>
      </c>
      <c r="I2287" s="39" t="s">
        <v>102</v>
      </c>
      <c r="J2287" s="41">
        <v>2000</v>
      </c>
      <c r="K2287" s="42">
        <v>18.899999999999999</v>
      </c>
      <c r="L2287" s="43"/>
      <c r="M2287" s="43">
        <f>L2287*K2287</f>
        <v>0</v>
      </c>
      <c r="N2287" s="35">
        <v>4607149405237</v>
      </c>
    </row>
    <row r="2288" spans="1:14" ht="36" customHeight="1" outlineLevel="3" x14ac:dyDescent="0.2">
      <c r="A2288" s="45">
        <v>15532</v>
      </c>
      <c r="B2288" s="37" t="str">
        <f>HYPERLINK("http://www.sedek.ru/upload/iblock/d88/ukrop_simfoniya.jpg","фото")</f>
        <v>фото</v>
      </c>
      <c r="C2288" s="38"/>
      <c r="D2288" s="38"/>
      <c r="E2288" s="39"/>
      <c r="F2288" s="39" t="s">
        <v>2849</v>
      </c>
      <c r="G2288" s="40">
        <v>2</v>
      </c>
      <c r="H2288" s="39" t="s">
        <v>101</v>
      </c>
      <c r="I2288" s="39" t="s">
        <v>102</v>
      </c>
      <c r="J2288" s="41">
        <v>2000</v>
      </c>
      <c r="K2288" s="42">
        <v>20</v>
      </c>
      <c r="L2288" s="43"/>
      <c r="M2288" s="43">
        <f>L2288*K2288</f>
        <v>0</v>
      </c>
      <c r="N2288" s="35">
        <v>4607149400607</v>
      </c>
    </row>
    <row r="2289" spans="1:14" ht="36" customHeight="1" outlineLevel="3" x14ac:dyDescent="0.2">
      <c r="A2289" s="45">
        <v>15532</v>
      </c>
      <c r="B2289" s="37" t="str">
        <f>HYPERLINK("http://www.sedek.ru/upload/iblock/d88/ukrop_simfoniya.jpg","фото")</f>
        <v>фото</v>
      </c>
      <c r="C2289" s="38"/>
      <c r="D2289" s="38"/>
      <c r="E2289" s="39"/>
      <c r="F2289" s="39" t="s">
        <v>2850</v>
      </c>
      <c r="G2289" s="40">
        <v>2</v>
      </c>
      <c r="H2289" s="39" t="s">
        <v>101</v>
      </c>
      <c r="I2289" s="39" t="s">
        <v>287</v>
      </c>
      <c r="J2289" s="41">
        <v>2000</v>
      </c>
      <c r="K2289" s="42">
        <v>7.3</v>
      </c>
      <c r="L2289" s="43"/>
      <c r="M2289" s="43">
        <f>L2289*K2289</f>
        <v>0</v>
      </c>
      <c r="N2289" s="35">
        <v>4607149406067</v>
      </c>
    </row>
    <row r="2290" spans="1:14" ht="48" customHeight="1" outlineLevel="3" x14ac:dyDescent="0.2">
      <c r="A2290" s="45">
        <v>14871</v>
      </c>
      <c r="B2290" s="37" t="str">
        <f>HYPERLINK("http://sedek.ru/upload/iblock/ad6/ukrop_sparzhevyy_buket.jpg","фото")</f>
        <v>фото</v>
      </c>
      <c r="C2290" s="38"/>
      <c r="D2290" s="38"/>
      <c r="E2290" s="39"/>
      <c r="F2290" s="39" t="s">
        <v>2851</v>
      </c>
      <c r="G2290" s="40">
        <v>2</v>
      </c>
      <c r="H2290" s="39" t="s">
        <v>101</v>
      </c>
      <c r="I2290" s="39" t="s">
        <v>102</v>
      </c>
      <c r="J2290" s="41">
        <v>2000</v>
      </c>
      <c r="K2290" s="42">
        <v>20.5</v>
      </c>
      <c r="L2290" s="43"/>
      <c r="M2290" s="43">
        <f>L2290*K2290</f>
        <v>0</v>
      </c>
      <c r="N2290" s="35">
        <v>4607149405268</v>
      </c>
    </row>
    <row r="2291" spans="1:14" ht="36" customHeight="1" outlineLevel="3" x14ac:dyDescent="0.2">
      <c r="A2291" s="45">
        <v>15050</v>
      </c>
      <c r="B2291" s="37" t="str">
        <f>HYPERLINK("http://sedek.ru/upload/iblock/8b8/ukrop_superdukat.jpg","фото")</f>
        <v>фото</v>
      </c>
      <c r="C2291" s="38"/>
      <c r="D2291" s="38"/>
      <c r="E2291" s="39"/>
      <c r="F2291" s="39" t="s">
        <v>2852</v>
      </c>
      <c r="G2291" s="40">
        <v>2</v>
      </c>
      <c r="H2291" s="39" t="s">
        <v>101</v>
      </c>
      <c r="I2291" s="39" t="s">
        <v>102</v>
      </c>
      <c r="J2291" s="41">
        <v>2000</v>
      </c>
      <c r="K2291" s="42">
        <v>15.6</v>
      </c>
      <c r="L2291" s="43"/>
      <c r="M2291" s="43">
        <f>L2291*K2291</f>
        <v>0</v>
      </c>
      <c r="N2291" s="35">
        <v>4607149400065</v>
      </c>
    </row>
    <row r="2292" spans="1:14" ht="36" customHeight="1" outlineLevel="3" x14ac:dyDescent="0.2">
      <c r="A2292" s="45">
        <v>15050</v>
      </c>
      <c r="B2292" s="37" t="str">
        <f>HYPERLINK("http://sedek.ru/upload/iblock/8b8/ukrop_superdukat.jpg","фото")</f>
        <v>фото</v>
      </c>
      <c r="C2292" s="38"/>
      <c r="D2292" s="38"/>
      <c r="E2292" s="39"/>
      <c r="F2292" s="39" t="s">
        <v>2853</v>
      </c>
      <c r="G2292" s="40">
        <v>2</v>
      </c>
      <c r="H2292" s="39" t="s">
        <v>101</v>
      </c>
      <c r="I2292" s="39" t="s">
        <v>287</v>
      </c>
      <c r="J2292" s="41">
        <v>2000</v>
      </c>
      <c r="K2292" s="42">
        <v>6.5</v>
      </c>
      <c r="L2292" s="43"/>
      <c r="M2292" s="43">
        <f>L2292*K2292</f>
        <v>0</v>
      </c>
      <c r="N2292" s="35">
        <v>4607149402724</v>
      </c>
    </row>
    <row r="2293" spans="1:14" ht="36" customHeight="1" outlineLevel="3" x14ac:dyDescent="0.2">
      <c r="A2293" s="45">
        <v>14675</v>
      </c>
      <c r="B2293" s="37" t="str">
        <f>HYPERLINK("http://sedek.ru/upload/iblock/aec/ukrop_uzory.jpg","фото")</f>
        <v>фото</v>
      </c>
      <c r="C2293" s="38"/>
      <c r="D2293" s="38"/>
      <c r="E2293" s="39"/>
      <c r="F2293" s="39" t="s">
        <v>2854</v>
      </c>
      <c r="G2293" s="40">
        <v>2</v>
      </c>
      <c r="H2293" s="39" t="s">
        <v>101</v>
      </c>
      <c r="I2293" s="39" t="s">
        <v>102</v>
      </c>
      <c r="J2293" s="41">
        <v>2000</v>
      </c>
      <c r="K2293" s="42">
        <v>20.5</v>
      </c>
      <c r="L2293" s="43"/>
      <c r="M2293" s="43">
        <f>L2293*K2293</f>
        <v>0</v>
      </c>
      <c r="N2293" s="35">
        <v>4690368015356</v>
      </c>
    </row>
    <row r="2294" spans="1:14" ht="36" customHeight="1" outlineLevel="3" x14ac:dyDescent="0.2">
      <c r="A2294" s="36" t="s">
        <v>2855</v>
      </c>
      <c r="B2294" s="37" t="str">
        <f>HYPERLINK("http://www.sedek.ru/upload/iblock/b84/ukrop_charodey.jpg","фото")</f>
        <v>фото</v>
      </c>
      <c r="C2294" s="38"/>
      <c r="D2294" s="38"/>
      <c r="E2294" s="39"/>
      <c r="F2294" s="39" t="s">
        <v>2856</v>
      </c>
      <c r="G2294" s="40">
        <v>2</v>
      </c>
      <c r="H2294" s="39" t="s">
        <v>101</v>
      </c>
      <c r="I2294" s="39" t="s">
        <v>102</v>
      </c>
      <c r="J2294" s="41">
        <v>2000</v>
      </c>
      <c r="K2294" s="42">
        <v>20.5</v>
      </c>
      <c r="L2294" s="43"/>
      <c r="M2294" s="43">
        <f>L2294*K2294</f>
        <v>0</v>
      </c>
      <c r="N2294" s="35">
        <v>4690368035507</v>
      </c>
    </row>
    <row r="2295" spans="1:14" ht="12" customHeight="1" outlineLevel="2" x14ac:dyDescent="0.2">
      <c r="A2295" s="22"/>
      <c r="B2295" s="23"/>
      <c r="C2295" s="23"/>
      <c r="D2295" s="23"/>
      <c r="E2295" s="24"/>
      <c r="F2295" s="24" t="s">
        <v>2857</v>
      </c>
      <c r="G2295" s="24"/>
      <c r="H2295" s="24"/>
      <c r="I2295" s="24"/>
      <c r="J2295" s="24"/>
      <c r="K2295" s="24"/>
      <c r="L2295" s="24"/>
      <c r="M2295" s="24"/>
      <c r="N2295" s="25"/>
    </row>
    <row r="2296" spans="1:14" ht="12" customHeight="1" outlineLevel="3" x14ac:dyDescent="0.2">
      <c r="A2296" s="45">
        <v>17026</v>
      </c>
      <c r="B2296" s="37" t="str">
        <f>HYPERLINK("http://sedek.ru/upload/iblock/56c/bazilik_gvozdichnyy.jpg","фото")</f>
        <v>фото</v>
      </c>
      <c r="C2296" s="38"/>
      <c r="D2296" s="38"/>
      <c r="E2296" s="39"/>
      <c r="F2296" s="39" t="s">
        <v>2858</v>
      </c>
      <c r="G2296" s="44">
        <v>0.1</v>
      </c>
      <c r="H2296" s="39" t="s">
        <v>101</v>
      </c>
      <c r="I2296" s="39" t="s">
        <v>102</v>
      </c>
      <c r="J2296" s="41">
        <v>4000</v>
      </c>
      <c r="K2296" s="42">
        <v>9.8000000000000007</v>
      </c>
      <c r="L2296" s="43"/>
      <c r="M2296" s="43">
        <f>L2296*K2296</f>
        <v>0</v>
      </c>
      <c r="N2296" s="35">
        <v>4690368017381</v>
      </c>
    </row>
    <row r="2297" spans="1:14" ht="24" customHeight="1" outlineLevel="3" x14ac:dyDescent="0.2">
      <c r="A2297" s="45">
        <v>13537</v>
      </c>
      <c r="B2297" s="37" t="str">
        <f>HYPERLINK("http://sedek.ru/upload/iblock/c0a/gorokh_dinga.png","фото")</f>
        <v>фото</v>
      </c>
      <c r="C2297" s="38"/>
      <c r="D2297" s="38"/>
      <c r="E2297" s="39"/>
      <c r="F2297" s="39" t="s">
        <v>2859</v>
      </c>
      <c r="G2297" s="40">
        <v>5</v>
      </c>
      <c r="H2297" s="39" t="s">
        <v>101</v>
      </c>
      <c r="I2297" s="39" t="s">
        <v>102</v>
      </c>
      <c r="J2297" s="40">
        <v>600</v>
      </c>
      <c r="K2297" s="42">
        <v>9.8000000000000007</v>
      </c>
      <c r="L2297" s="43"/>
      <c r="M2297" s="43">
        <f>L2297*K2297</f>
        <v>0</v>
      </c>
      <c r="N2297" s="35">
        <v>4690368002868</v>
      </c>
    </row>
    <row r="2298" spans="1:14" ht="12" customHeight="1" outlineLevel="3" x14ac:dyDescent="0.2">
      <c r="A2298" s="45">
        <v>16334</v>
      </c>
      <c r="B2298" s="37" t="str">
        <f>HYPERLINK("http://www.sedek.ru/upload/iblock/738/kapusta_sizaya_golubka_krasnokochannaya.jpg","фото")</f>
        <v>фото</v>
      </c>
      <c r="C2298" s="38"/>
      <c r="D2298" s="38"/>
      <c r="E2298" s="39"/>
      <c r="F2298" s="39" t="s">
        <v>2860</v>
      </c>
      <c r="G2298" s="44">
        <v>0.5</v>
      </c>
      <c r="H2298" s="39" t="s">
        <v>101</v>
      </c>
      <c r="I2298" s="39" t="s">
        <v>102</v>
      </c>
      <c r="J2298" s="41">
        <v>2000</v>
      </c>
      <c r="K2298" s="42">
        <v>9.8000000000000007</v>
      </c>
      <c r="L2298" s="43"/>
      <c r="M2298" s="43">
        <f>L2298*K2298</f>
        <v>0</v>
      </c>
      <c r="N2298" s="35">
        <v>4690368003100</v>
      </c>
    </row>
    <row r="2299" spans="1:14" ht="12" customHeight="1" outlineLevel="3" x14ac:dyDescent="0.2">
      <c r="A2299" s="45">
        <v>14384</v>
      </c>
      <c r="B2299" s="37" t="str">
        <f>HYPERLINK("http://sedek.ru/upload/iblock/5ab/luk_porey_karantanskiy.png","фото")</f>
        <v>фото</v>
      </c>
      <c r="C2299" s="38"/>
      <c r="D2299" s="38"/>
      <c r="E2299" s="39"/>
      <c r="F2299" s="39" t="s">
        <v>2861</v>
      </c>
      <c r="G2299" s="40">
        <v>1</v>
      </c>
      <c r="H2299" s="39" t="s">
        <v>101</v>
      </c>
      <c r="I2299" s="39" t="s">
        <v>102</v>
      </c>
      <c r="J2299" s="41">
        <v>2000</v>
      </c>
      <c r="K2299" s="42">
        <v>9.8000000000000007</v>
      </c>
      <c r="L2299" s="43"/>
      <c r="M2299" s="43">
        <f>L2299*K2299</f>
        <v>0</v>
      </c>
      <c r="N2299" s="35">
        <v>4690368003148</v>
      </c>
    </row>
    <row r="2300" spans="1:14" ht="12" customHeight="1" outlineLevel="3" x14ac:dyDescent="0.2">
      <c r="A2300" s="45">
        <v>15995</v>
      </c>
      <c r="B2300" s="37" t="str">
        <f>HYPERLINK("http://sedek.ru/upload/iblock/524/luk_batun_nezhnost.png","фото")</f>
        <v>фото</v>
      </c>
      <c r="C2300" s="38"/>
      <c r="D2300" s="38"/>
      <c r="E2300" s="39"/>
      <c r="F2300" s="39" t="s">
        <v>2862</v>
      </c>
      <c r="G2300" s="40">
        <v>1</v>
      </c>
      <c r="H2300" s="39" t="s">
        <v>101</v>
      </c>
      <c r="I2300" s="39" t="s">
        <v>102</v>
      </c>
      <c r="J2300" s="41">
        <v>2000</v>
      </c>
      <c r="K2300" s="42">
        <v>9.8000000000000007</v>
      </c>
      <c r="L2300" s="43"/>
      <c r="M2300" s="43">
        <f>L2300*K2300</f>
        <v>0</v>
      </c>
      <c r="N2300" s="35">
        <v>4690368003162</v>
      </c>
    </row>
    <row r="2301" spans="1:14" ht="36" customHeight="1" outlineLevel="3" x14ac:dyDescent="0.2">
      <c r="A2301" s="45">
        <v>14846</v>
      </c>
      <c r="B2301" s="37" t="str">
        <f>HYPERLINK("http://www.sedek.ru/upload/iblock/430/perts_sladkiy_zolotoe_chudo.png","фото")</f>
        <v>фото</v>
      </c>
      <c r="C2301" s="38"/>
      <c r="D2301" s="38"/>
      <c r="E2301" s="39"/>
      <c r="F2301" s="39" t="s">
        <v>2863</v>
      </c>
      <c r="G2301" s="44">
        <v>0.2</v>
      </c>
      <c r="H2301" s="39" t="s">
        <v>101</v>
      </c>
      <c r="I2301" s="39" t="s">
        <v>102</v>
      </c>
      <c r="J2301" s="41">
        <v>4000</v>
      </c>
      <c r="K2301" s="42">
        <v>9.8000000000000007</v>
      </c>
      <c r="L2301" s="43"/>
      <c r="M2301" s="43">
        <f>L2301*K2301</f>
        <v>0</v>
      </c>
      <c r="N2301" s="35">
        <v>4690368003520</v>
      </c>
    </row>
    <row r="2302" spans="1:14" ht="36" customHeight="1" outlineLevel="3" x14ac:dyDescent="0.2">
      <c r="A2302" s="36" t="s">
        <v>2864</v>
      </c>
      <c r="B2302" s="37" t="str">
        <f>HYPERLINK("http://www.sedek.ru/upload/iblock/113/myata_ovoshchnaya_mentol.jpg","фото")</f>
        <v>фото</v>
      </c>
      <c r="C2302" s="38"/>
      <c r="D2302" s="38"/>
      <c r="E2302" s="39"/>
      <c r="F2302" s="39" t="s">
        <v>2865</v>
      </c>
      <c r="G2302" s="54">
        <v>0.05</v>
      </c>
      <c r="H2302" s="39" t="s">
        <v>101</v>
      </c>
      <c r="I2302" s="39" t="s">
        <v>102</v>
      </c>
      <c r="J2302" s="41">
        <v>5000</v>
      </c>
      <c r="K2302" s="42">
        <v>9.8000000000000007</v>
      </c>
      <c r="L2302" s="43"/>
      <c r="M2302" s="43">
        <f>L2302*K2302</f>
        <v>0</v>
      </c>
      <c r="N2302" s="35">
        <v>4690368032063</v>
      </c>
    </row>
    <row r="2303" spans="1:14" ht="12" customHeight="1" outlineLevel="3" x14ac:dyDescent="0.2">
      <c r="A2303" s="45">
        <v>14492</v>
      </c>
      <c r="B2303" s="37" t="str">
        <f>HYPERLINK("http://sedek.ru/upload/iblock/c17/salat_berlinskiy_zhyeltyy.png","фото")</f>
        <v>фото</v>
      </c>
      <c r="C2303" s="38"/>
      <c r="D2303" s="38"/>
      <c r="E2303" s="39"/>
      <c r="F2303" s="39" t="s">
        <v>2866</v>
      </c>
      <c r="G2303" s="40">
        <v>1</v>
      </c>
      <c r="H2303" s="39" t="s">
        <v>101</v>
      </c>
      <c r="I2303" s="39" t="s">
        <v>102</v>
      </c>
      <c r="J2303" s="41">
        <v>2500</v>
      </c>
      <c r="K2303" s="42">
        <v>9.8000000000000007</v>
      </c>
      <c r="L2303" s="43"/>
      <c r="M2303" s="43">
        <f>L2303*K2303</f>
        <v>0</v>
      </c>
      <c r="N2303" s="35">
        <v>4690368003766</v>
      </c>
    </row>
    <row r="2304" spans="1:14" ht="24" customHeight="1" outlineLevel="3" x14ac:dyDescent="0.2">
      <c r="A2304" s="45">
        <v>13892</v>
      </c>
      <c r="B2304" s="37" t="str">
        <f>HYPERLINK("http://www.sedek.ru/upload/iblock/5f8/salat_krasnolistnyy_letniy.png","фото")</f>
        <v>фото</v>
      </c>
      <c r="C2304" s="38"/>
      <c r="D2304" s="38"/>
      <c r="E2304" s="39"/>
      <c r="F2304" s="39" t="s">
        <v>2867</v>
      </c>
      <c r="G2304" s="44">
        <v>0.5</v>
      </c>
      <c r="H2304" s="39" t="s">
        <v>101</v>
      </c>
      <c r="I2304" s="39" t="s">
        <v>102</v>
      </c>
      <c r="J2304" s="41">
        <v>3000</v>
      </c>
      <c r="K2304" s="42">
        <v>9.8000000000000007</v>
      </c>
      <c r="L2304" s="43"/>
      <c r="M2304" s="43">
        <f>L2304*K2304</f>
        <v>0</v>
      </c>
      <c r="N2304" s="35">
        <v>4690368003797</v>
      </c>
    </row>
    <row r="2305" spans="1:14" ht="36" customHeight="1" outlineLevel="3" x14ac:dyDescent="0.2">
      <c r="A2305" s="45">
        <v>14160</v>
      </c>
      <c r="B2305" s="37" t="str">
        <f>HYPERLINK("http://www.sedek.ru/upload/iblock/d81/tomat_yamal.jpg","фото")</f>
        <v>фото</v>
      </c>
      <c r="C2305" s="38"/>
      <c r="D2305" s="38"/>
      <c r="E2305" s="39"/>
      <c r="F2305" s="39" t="s">
        <v>2868</v>
      </c>
      <c r="G2305" s="44">
        <v>0.1</v>
      </c>
      <c r="H2305" s="39" t="s">
        <v>101</v>
      </c>
      <c r="I2305" s="39" t="s">
        <v>102</v>
      </c>
      <c r="J2305" s="41">
        <v>4000</v>
      </c>
      <c r="K2305" s="42">
        <v>9.8000000000000007</v>
      </c>
      <c r="L2305" s="43"/>
      <c r="M2305" s="43">
        <f>L2305*K2305</f>
        <v>0</v>
      </c>
      <c r="N2305" s="35">
        <v>4690368004084</v>
      </c>
    </row>
    <row r="2306" spans="1:14" ht="12" customHeight="1" outlineLevel="3" x14ac:dyDescent="0.2">
      <c r="A2306" s="45">
        <v>15582</v>
      </c>
      <c r="B2306" s="37" t="str">
        <f>HYPERLINK("http://www.sedek.ru/upload/iblock/850/ukrop_zontik.png","фото")</f>
        <v>фото</v>
      </c>
      <c r="C2306" s="38"/>
      <c r="D2306" s="38"/>
      <c r="E2306" s="39"/>
      <c r="F2306" s="39" t="s">
        <v>2869</v>
      </c>
      <c r="G2306" s="40">
        <v>2</v>
      </c>
      <c r="H2306" s="39" t="s">
        <v>101</v>
      </c>
      <c r="I2306" s="39" t="s">
        <v>102</v>
      </c>
      <c r="J2306" s="41">
        <v>2000</v>
      </c>
      <c r="K2306" s="42">
        <v>9.8000000000000007</v>
      </c>
      <c r="L2306" s="43"/>
      <c r="M2306" s="43">
        <f>L2306*K2306</f>
        <v>0</v>
      </c>
      <c r="N2306" s="35">
        <v>4690368004138</v>
      </c>
    </row>
    <row r="2307" spans="1:14" ht="12" customHeight="1" outlineLevel="3" x14ac:dyDescent="0.2">
      <c r="A2307" s="45">
        <v>15789</v>
      </c>
      <c r="B2307" s="37" t="str">
        <f>HYPERLINK("http://www.sedek.ru/upload/iblock/9e9/fizalis_konditer.png","фото")</f>
        <v>фото</v>
      </c>
      <c r="C2307" s="38"/>
      <c r="D2307" s="38"/>
      <c r="E2307" s="39"/>
      <c r="F2307" s="39" t="s">
        <v>2870</v>
      </c>
      <c r="G2307" s="44">
        <v>0.1</v>
      </c>
      <c r="H2307" s="39" t="s">
        <v>101</v>
      </c>
      <c r="I2307" s="39" t="s">
        <v>102</v>
      </c>
      <c r="J2307" s="41">
        <v>3000</v>
      </c>
      <c r="K2307" s="42">
        <v>9.8000000000000007</v>
      </c>
      <c r="L2307" s="43"/>
      <c r="M2307" s="43">
        <f>L2307*K2307</f>
        <v>0</v>
      </c>
      <c r="N2307" s="35">
        <v>4690368004183</v>
      </c>
    </row>
    <row r="2308" spans="1:14" ht="36" customHeight="1" outlineLevel="3" x14ac:dyDescent="0.2">
      <c r="A2308" s="36" t="s">
        <v>2871</v>
      </c>
      <c r="B2308" s="37" t="str">
        <f>HYPERLINK("http://www.sedek.ru/upload/iblock/978/tsvetok_astra_osenniy_etyud_.jpg","фото")</f>
        <v>фото</v>
      </c>
      <c r="C2308" s="38"/>
      <c r="D2308" s="38"/>
      <c r="E2308" s="39"/>
      <c r="F2308" s="39" t="s">
        <v>2872</v>
      </c>
      <c r="G2308" s="44">
        <v>0.2</v>
      </c>
      <c r="H2308" s="39" t="s">
        <v>101</v>
      </c>
      <c r="I2308" s="39" t="s">
        <v>102</v>
      </c>
      <c r="J2308" s="41">
        <v>3000</v>
      </c>
      <c r="K2308" s="42">
        <v>9.8000000000000007</v>
      </c>
      <c r="L2308" s="43"/>
      <c r="M2308" s="43">
        <f>L2308*K2308</f>
        <v>0</v>
      </c>
      <c r="N2308" s="35">
        <v>4690368032353</v>
      </c>
    </row>
    <row r="2309" spans="1:14" ht="36" customHeight="1" outlineLevel="3" x14ac:dyDescent="0.2">
      <c r="A2309" s="36" t="s">
        <v>2873</v>
      </c>
      <c r="B2309" s="37" t="str">
        <f>HYPERLINK("http://www.sedek.ru/upload/iblock/e87/kalendula_patsifik_byuti.jpg","фото")</f>
        <v>фото</v>
      </c>
      <c r="C2309" s="38"/>
      <c r="D2309" s="38"/>
      <c r="E2309" s="39"/>
      <c r="F2309" s="39" t="s">
        <v>2874</v>
      </c>
      <c r="G2309" s="44">
        <v>0.5</v>
      </c>
      <c r="H2309" s="39" t="s">
        <v>101</v>
      </c>
      <c r="I2309" s="39" t="s">
        <v>102</v>
      </c>
      <c r="J2309" s="41">
        <v>1500</v>
      </c>
      <c r="K2309" s="42">
        <v>9.8000000000000007</v>
      </c>
      <c r="L2309" s="43"/>
      <c r="M2309" s="43">
        <f>L2309*K2309</f>
        <v>0</v>
      </c>
      <c r="N2309" s="35">
        <v>4690368032421</v>
      </c>
    </row>
    <row r="2310" spans="1:14" ht="12" customHeight="1" outlineLevel="3" x14ac:dyDescent="0.2">
      <c r="A2310" s="45">
        <v>16271</v>
      </c>
      <c r="B2310" s="37" t="str">
        <f>HYPERLINK("http://sedek.ru/upload/iblock/8e8/shchavel_belvilskiy.png","фото")</f>
        <v>фото</v>
      </c>
      <c r="C2310" s="38"/>
      <c r="D2310" s="38"/>
      <c r="E2310" s="39"/>
      <c r="F2310" s="39" t="s">
        <v>2875</v>
      </c>
      <c r="G2310" s="44">
        <v>0.5</v>
      </c>
      <c r="H2310" s="39" t="s">
        <v>101</v>
      </c>
      <c r="I2310" s="39" t="s">
        <v>102</v>
      </c>
      <c r="J2310" s="41">
        <v>3000</v>
      </c>
      <c r="K2310" s="42">
        <v>9.8000000000000007</v>
      </c>
      <c r="L2310" s="43"/>
      <c r="M2310" s="43">
        <f>L2310*K2310</f>
        <v>0</v>
      </c>
      <c r="N2310" s="35">
        <v>4690368004213</v>
      </c>
    </row>
    <row r="2311" spans="1:14" ht="12" customHeight="1" outlineLevel="2" x14ac:dyDescent="0.2">
      <c r="A2311" s="22"/>
      <c r="B2311" s="23"/>
      <c r="C2311" s="23"/>
      <c r="D2311" s="23"/>
      <c r="E2311" s="24"/>
      <c r="F2311" s="24" t="s">
        <v>2876</v>
      </c>
      <c r="G2311" s="24"/>
      <c r="H2311" s="24"/>
      <c r="I2311" s="24"/>
      <c r="J2311" s="24"/>
      <c r="K2311" s="24"/>
      <c r="L2311" s="24"/>
      <c r="M2311" s="24"/>
      <c r="N2311" s="25"/>
    </row>
    <row r="2312" spans="1:14" ht="12" customHeight="1" outlineLevel="3" x14ac:dyDescent="0.2">
      <c r="A2312" s="36" t="s">
        <v>2877</v>
      </c>
      <c r="B2312" s="37" t="str">
        <f>HYPERLINK("http://www.sedek.ru/upload/iblock/320/zemlyanika_remontantnaya_aleksandrina.jpg","фото")</f>
        <v>фото</v>
      </c>
      <c r="C2312" s="38"/>
      <c r="D2312" s="38"/>
      <c r="E2312" s="39"/>
      <c r="F2312" s="39" t="s">
        <v>2878</v>
      </c>
      <c r="G2312" s="54">
        <v>0.04</v>
      </c>
      <c r="H2312" s="39" t="s">
        <v>101</v>
      </c>
      <c r="I2312" s="39" t="s">
        <v>102</v>
      </c>
      <c r="J2312" s="41">
        <v>5000</v>
      </c>
      <c r="K2312" s="42">
        <v>10</v>
      </c>
      <c r="L2312" s="43"/>
      <c r="M2312" s="43">
        <f>L2312*K2312</f>
        <v>0</v>
      </c>
      <c r="N2312" s="35">
        <v>2000121542609</v>
      </c>
    </row>
    <row r="2313" spans="1:14" ht="36" customHeight="1" outlineLevel="3" x14ac:dyDescent="0.2">
      <c r="A2313" s="36" t="s">
        <v>2879</v>
      </c>
      <c r="B2313" s="37" t="str">
        <f>HYPERLINK("http://www.sedek.ru/upload/iblock/dd3/dimorfoteka_karavan.jpg","фото")</f>
        <v>фото</v>
      </c>
      <c r="C2313" s="38"/>
      <c r="D2313" s="38"/>
      <c r="E2313" s="39"/>
      <c r="F2313" s="39" t="s">
        <v>2880</v>
      </c>
      <c r="G2313" s="44">
        <v>0.2</v>
      </c>
      <c r="H2313" s="39" t="s">
        <v>101</v>
      </c>
      <c r="I2313" s="39" t="s">
        <v>102</v>
      </c>
      <c r="J2313" s="41">
        <v>4000</v>
      </c>
      <c r="K2313" s="42">
        <v>9.3000000000000007</v>
      </c>
      <c r="L2313" s="43"/>
      <c r="M2313" s="43">
        <f>L2313*K2313</f>
        <v>0</v>
      </c>
      <c r="N2313" s="35">
        <v>2000121544818</v>
      </c>
    </row>
    <row r="2314" spans="1:14" ht="12" customHeight="1" outlineLevel="2" x14ac:dyDescent="0.2">
      <c r="A2314" s="22"/>
      <c r="B2314" s="23"/>
      <c r="C2314" s="23"/>
      <c r="D2314" s="23"/>
      <c r="E2314" s="24"/>
      <c r="F2314" s="24" t="s">
        <v>2881</v>
      </c>
      <c r="G2314" s="24"/>
      <c r="H2314" s="24"/>
      <c r="I2314" s="24"/>
      <c r="J2314" s="24"/>
      <c r="K2314" s="24"/>
      <c r="L2314" s="24"/>
      <c r="M2314" s="24"/>
      <c r="N2314" s="25"/>
    </row>
    <row r="2315" spans="1:14" ht="36" customHeight="1" outlineLevel="3" x14ac:dyDescent="0.2">
      <c r="A2315" s="45">
        <v>14234</v>
      </c>
      <c r="B2315" s="37" t="str">
        <f>HYPERLINK("http://www.sedek.ru/upload/iblock/9cf/fasol_allyur.JPG","фото")</f>
        <v>фото</v>
      </c>
      <c r="C2315" s="38"/>
      <c r="D2315" s="38"/>
      <c r="E2315" s="39"/>
      <c r="F2315" s="39" t="s">
        <v>2882</v>
      </c>
      <c r="G2315" s="40">
        <v>5</v>
      </c>
      <c r="H2315" s="39" t="s">
        <v>101</v>
      </c>
      <c r="I2315" s="39" t="s">
        <v>102</v>
      </c>
      <c r="J2315" s="41">
        <v>1000</v>
      </c>
      <c r="K2315" s="42">
        <v>28.9</v>
      </c>
      <c r="L2315" s="43"/>
      <c r="M2315" s="43">
        <f>L2315*K2315</f>
        <v>0</v>
      </c>
      <c r="N2315" s="35">
        <v>4607116262160</v>
      </c>
    </row>
    <row r="2316" spans="1:14" ht="24" customHeight="1" outlineLevel="3" x14ac:dyDescent="0.2">
      <c r="A2316" s="46">
        <v>14037</v>
      </c>
      <c r="B2316" s="47" t="str">
        <f>HYPERLINK("http://www.sedek.ru/upload/iblock/a39/fasol_bona.jpg","фото")</f>
        <v>фото</v>
      </c>
      <c r="C2316" s="48"/>
      <c r="D2316" s="48"/>
      <c r="E2316" s="49"/>
      <c r="F2316" s="49" t="s">
        <v>2883</v>
      </c>
      <c r="G2316" s="50">
        <v>5</v>
      </c>
      <c r="H2316" s="49" t="s">
        <v>101</v>
      </c>
      <c r="I2316" s="49" t="s">
        <v>102</v>
      </c>
      <c r="J2316" s="51">
        <v>1000</v>
      </c>
      <c r="K2316" s="52">
        <v>15.6</v>
      </c>
      <c r="L2316" s="53"/>
      <c r="M2316" s="53">
        <f>L2316*K2316</f>
        <v>0</v>
      </c>
      <c r="N2316" s="35">
        <v>4607116262177</v>
      </c>
    </row>
    <row r="2317" spans="1:14" ht="24" customHeight="1" outlineLevel="3" x14ac:dyDescent="0.2">
      <c r="A2317" s="45">
        <v>14534</v>
      </c>
      <c r="B2317" s="37" t="str">
        <f>HYPERLINK("http://sedek.ru/upload/iblock/23a/fasol_inga.jpg","фото")</f>
        <v>фото</v>
      </c>
      <c r="C2317" s="38"/>
      <c r="D2317" s="38"/>
      <c r="E2317" s="39"/>
      <c r="F2317" s="39" t="s">
        <v>2884</v>
      </c>
      <c r="G2317" s="40">
        <v>5</v>
      </c>
      <c r="H2317" s="39" t="s">
        <v>101</v>
      </c>
      <c r="I2317" s="39" t="s">
        <v>102</v>
      </c>
      <c r="J2317" s="41">
        <v>1000</v>
      </c>
      <c r="K2317" s="42">
        <v>27.7</v>
      </c>
      <c r="L2317" s="43"/>
      <c r="M2317" s="43">
        <f>L2317*K2317</f>
        <v>0</v>
      </c>
      <c r="N2317" s="35">
        <v>4607116262191</v>
      </c>
    </row>
    <row r="2318" spans="1:14" ht="36" customHeight="1" outlineLevel="3" x14ac:dyDescent="0.2">
      <c r="A2318" s="46">
        <v>15087</v>
      </c>
      <c r="B2318" s="47" t="str">
        <f>HYPERLINK("http://sedek.ru/upload/iblock/ea2/fasol_kukharka_sasha.jpg","фото")</f>
        <v>фото</v>
      </c>
      <c r="C2318" s="48"/>
      <c r="D2318" s="48"/>
      <c r="E2318" s="49"/>
      <c r="F2318" s="49" t="s">
        <v>2885</v>
      </c>
      <c r="G2318" s="50">
        <v>5</v>
      </c>
      <c r="H2318" s="49" t="s">
        <v>101</v>
      </c>
      <c r="I2318" s="49" t="s">
        <v>102</v>
      </c>
      <c r="J2318" s="51">
        <v>1000</v>
      </c>
      <c r="K2318" s="52">
        <v>27.8</v>
      </c>
      <c r="L2318" s="53"/>
      <c r="M2318" s="53">
        <f>L2318*K2318</f>
        <v>0</v>
      </c>
      <c r="N2318" s="35">
        <v>4690368007320</v>
      </c>
    </row>
    <row r="2319" spans="1:14" ht="36" customHeight="1" outlineLevel="3" x14ac:dyDescent="0.2">
      <c r="A2319" s="46">
        <v>15547</v>
      </c>
      <c r="B2319" s="47" t="str">
        <f>HYPERLINK("http://www.sedek.ru/upload/iblock/5d2/fasol_laura.jpg","фото")</f>
        <v>фото</v>
      </c>
      <c r="C2319" s="48"/>
      <c r="D2319" s="48"/>
      <c r="E2319" s="49"/>
      <c r="F2319" s="49" t="s">
        <v>2886</v>
      </c>
      <c r="G2319" s="50">
        <v>5</v>
      </c>
      <c r="H2319" s="49" t="s">
        <v>101</v>
      </c>
      <c r="I2319" s="49" t="s">
        <v>102</v>
      </c>
      <c r="J2319" s="51">
        <v>1000</v>
      </c>
      <c r="K2319" s="52">
        <v>29.6</v>
      </c>
      <c r="L2319" s="53"/>
      <c r="M2319" s="53">
        <f>L2319*K2319</f>
        <v>0</v>
      </c>
      <c r="N2319" s="35">
        <v>4607116262207</v>
      </c>
    </row>
    <row r="2320" spans="1:14" ht="24" customHeight="1" outlineLevel="3" x14ac:dyDescent="0.2">
      <c r="A2320" s="45">
        <v>17040</v>
      </c>
      <c r="B2320" s="37" t="str">
        <f>HYPERLINK("http://www.sedek.ru/upload/iblock/a9a/fasol_mechta_khozyayki.jpg","фото")</f>
        <v>фото</v>
      </c>
      <c r="C2320" s="38"/>
      <c r="D2320" s="38"/>
      <c r="E2320" s="39"/>
      <c r="F2320" s="39" t="s">
        <v>2887</v>
      </c>
      <c r="G2320" s="40">
        <v>5</v>
      </c>
      <c r="H2320" s="39" t="s">
        <v>101</v>
      </c>
      <c r="I2320" s="39" t="s">
        <v>102</v>
      </c>
      <c r="J2320" s="41">
        <v>1000</v>
      </c>
      <c r="K2320" s="42">
        <v>29.3</v>
      </c>
      <c r="L2320" s="43"/>
      <c r="M2320" s="43">
        <f>L2320*K2320</f>
        <v>0</v>
      </c>
      <c r="N2320" s="35">
        <v>4690368025478</v>
      </c>
    </row>
    <row r="2321" spans="1:14" ht="24" customHeight="1" outlineLevel="3" x14ac:dyDescent="0.2">
      <c r="A2321" s="45">
        <v>15295</v>
      </c>
      <c r="B2321" s="37" t="str">
        <f>HYPERLINK("http://sedek.ru/upload/iblock/40f/fasol_nerina.jpg","фото")</f>
        <v>фото</v>
      </c>
      <c r="C2321" s="38"/>
      <c r="D2321" s="38"/>
      <c r="E2321" s="39"/>
      <c r="F2321" s="39" t="s">
        <v>2888</v>
      </c>
      <c r="G2321" s="40">
        <v>5</v>
      </c>
      <c r="H2321" s="39" t="s">
        <v>101</v>
      </c>
      <c r="I2321" s="39" t="s">
        <v>102</v>
      </c>
      <c r="J2321" s="41">
        <v>1000</v>
      </c>
      <c r="K2321" s="42">
        <v>27.7</v>
      </c>
      <c r="L2321" s="43"/>
      <c r="M2321" s="43">
        <f>L2321*K2321</f>
        <v>0</v>
      </c>
      <c r="N2321" s="35">
        <v>4607116262214</v>
      </c>
    </row>
    <row r="2322" spans="1:14" ht="36" customHeight="1" outlineLevel="3" x14ac:dyDescent="0.2">
      <c r="A2322" s="36" t="s">
        <v>2889</v>
      </c>
      <c r="B2322" s="37" t="str">
        <f>HYPERLINK("http://sedek.ru/upload/iblock/08a/fasol_popugay_obyknovennaya_zernovaya.jpg","фото")</f>
        <v>фото</v>
      </c>
      <c r="C2322" s="38"/>
      <c r="D2322" s="38"/>
      <c r="E2322" s="39"/>
      <c r="F2322" s="39" t="s">
        <v>2890</v>
      </c>
      <c r="G2322" s="40">
        <v>5</v>
      </c>
      <c r="H2322" s="39" t="s">
        <v>101</v>
      </c>
      <c r="I2322" s="39" t="s">
        <v>102</v>
      </c>
      <c r="J2322" s="41">
        <v>1000</v>
      </c>
      <c r="K2322" s="42">
        <v>27.7</v>
      </c>
      <c r="L2322" s="43"/>
      <c r="M2322" s="43">
        <f>L2322*K2322</f>
        <v>0</v>
      </c>
      <c r="N2322" s="35">
        <v>4690368041348</v>
      </c>
    </row>
    <row r="2323" spans="1:14" ht="24" customHeight="1" outlineLevel="3" x14ac:dyDescent="0.2">
      <c r="A2323" s="45">
        <v>14655</v>
      </c>
      <c r="B2323" s="37" t="str">
        <f>HYPERLINK("http://sedek.ru/upload/iblock/442/fasol_romana.jpg","фото")</f>
        <v>фото</v>
      </c>
      <c r="C2323" s="38"/>
      <c r="D2323" s="38"/>
      <c r="E2323" s="39"/>
      <c r="F2323" s="39" t="s">
        <v>2891</v>
      </c>
      <c r="G2323" s="40">
        <v>5</v>
      </c>
      <c r="H2323" s="39" t="s">
        <v>101</v>
      </c>
      <c r="I2323" s="39" t="s">
        <v>102</v>
      </c>
      <c r="J2323" s="41">
        <v>1000</v>
      </c>
      <c r="K2323" s="42">
        <v>27.7</v>
      </c>
      <c r="L2323" s="43"/>
      <c r="M2323" s="43">
        <f>L2323*K2323</f>
        <v>0</v>
      </c>
      <c r="N2323" s="35">
        <v>4607116269657</v>
      </c>
    </row>
    <row r="2324" spans="1:14" ht="24" customHeight="1" outlineLevel="3" x14ac:dyDescent="0.2">
      <c r="A2324" s="45">
        <v>16351</v>
      </c>
      <c r="B2324" s="37" t="str">
        <f>HYPERLINK("http://sedek.ru/upload/iblock/dab/fasol_rubin.jpg","фото")</f>
        <v>фото</v>
      </c>
      <c r="C2324" s="38"/>
      <c r="D2324" s="38"/>
      <c r="E2324" s="39"/>
      <c r="F2324" s="39" t="s">
        <v>2892</v>
      </c>
      <c r="G2324" s="40">
        <v>5</v>
      </c>
      <c r="H2324" s="39" t="s">
        <v>101</v>
      </c>
      <c r="I2324" s="39" t="s">
        <v>102</v>
      </c>
      <c r="J2324" s="41">
        <v>1000</v>
      </c>
      <c r="K2324" s="42">
        <v>27.5</v>
      </c>
      <c r="L2324" s="43"/>
      <c r="M2324" s="43">
        <f>L2324*K2324</f>
        <v>0</v>
      </c>
      <c r="N2324" s="35">
        <v>4690368010047</v>
      </c>
    </row>
    <row r="2325" spans="1:14" ht="24" customHeight="1" outlineLevel="3" x14ac:dyDescent="0.2">
      <c r="A2325" s="45">
        <v>14667</v>
      </c>
      <c r="B2325" s="37" t="str">
        <f>HYPERLINK("http://sedek.ru/upload/iblock/948/fasol_sadovod.jpg","фото")</f>
        <v>фото</v>
      </c>
      <c r="C2325" s="38"/>
      <c r="D2325" s="38"/>
      <c r="E2325" s="39"/>
      <c r="F2325" s="39" t="s">
        <v>2893</v>
      </c>
      <c r="G2325" s="40">
        <v>5</v>
      </c>
      <c r="H2325" s="39" t="s">
        <v>101</v>
      </c>
      <c r="I2325" s="39" t="s">
        <v>102</v>
      </c>
      <c r="J2325" s="41">
        <v>1000</v>
      </c>
      <c r="K2325" s="42">
        <v>27.5</v>
      </c>
      <c r="L2325" s="43"/>
      <c r="M2325" s="43">
        <f>L2325*K2325</f>
        <v>0</v>
      </c>
      <c r="N2325" s="35">
        <v>4607116262238</v>
      </c>
    </row>
    <row r="2326" spans="1:14" ht="36" customHeight="1" outlineLevel="3" x14ac:dyDescent="0.2">
      <c r="A2326" s="45">
        <v>13878</v>
      </c>
      <c r="B2326" s="37" t="str">
        <f>HYPERLINK("http://sedek.ru/upload/iblock/a5e/fasol_saksa_bez_volokna_615.jpg","фото")</f>
        <v>фото</v>
      </c>
      <c r="C2326" s="38"/>
      <c r="D2326" s="38"/>
      <c r="E2326" s="39"/>
      <c r="F2326" s="39" t="s">
        <v>2894</v>
      </c>
      <c r="G2326" s="40">
        <v>5</v>
      </c>
      <c r="H2326" s="39" t="s">
        <v>101</v>
      </c>
      <c r="I2326" s="39" t="s">
        <v>102</v>
      </c>
      <c r="J2326" s="41">
        <v>1000</v>
      </c>
      <c r="K2326" s="42">
        <v>16.399999999999999</v>
      </c>
      <c r="L2326" s="43"/>
      <c r="M2326" s="43">
        <f>L2326*K2326</f>
        <v>0</v>
      </c>
      <c r="N2326" s="35">
        <v>4690368010054</v>
      </c>
    </row>
    <row r="2327" spans="1:14" ht="24" customHeight="1" outlineLevel="3" x14ac:dyDescent="0.2">
      <c r="A2327" s="46">
        <v>17039</v>
      </c>
      <c r="B2327" s="47" t="str">
        <f>HYPERLINK("http://sedek.ru/upload/iblock/17f/fasol_sakharnaya_lopatka.jpg","фото")</f>
        <v>фото</v>
      </c>
      <c r="C2327" s="48"/>
      <c r="D2327" s="48"/>
      <c r="E2327" s="49"/>
      <c r="F2327" s="49" t="s">
        <v>2895</v>
      </c>
      <c r="G2327" s="50">
        <v>5</v>
      </c>
      <c r="H2327" s="49" t="s">
        <v>101</v>
      </c>
      <c r="I2327" s="49" t="s">
        <v>102</v>
      </c>
      <c r="J2327" s="51">
        <v>1000</v>
      </c>
      <c r="K2327" s="52">
        <v>27.8</v>
      </c>
      <c r="L2327" s="53"/>
      <c r="M2327" s="53">
        <f>L2327*K2327</f>
        <v>0</v>
      </c>
      <c r="N2327" s="35">
        <v>4690368024204</v>
      </c>
    </row>
    <row r="2328" spans="1:14" ht="36" customHeight="1" outlineLevel="3" x14ac:dyDescent="0.2">
      <c r="A2328" s="45">
        <v>14278</v>
      </c>
      <c r="B2328" s="37" t="str">
        <f>HYPERLINK("http://www.sedek.ru/upload/iblock/daf/fasol_sladkiy_kurazh.jpg","фото")</f>
        <v>фото</v>
      </c>
      <c r="C2328" s="38"/>
      <c r="D2328" s="38" t="s">
        <v>266</v>
      </c>
      <c r="E2328" s="39"/>
      <c r="F2328" s="39" t="s">
        <v>2896</v>
      </c>
      <c r="G2328" s="40">
        <v>5</v>
      </c>
      <c r="H2328" s="39" t="s">
        <v>101</v>
      </c>
      <c r="I2328" s="39" t="s">
        <v>102</v>
      </c>
      <c r="J2328" s="41">
        <v>1000</v>
      </c>
      <c r="K2328" s="42">
        <v>31.2</v>
      </c>
      <c r="L2328" s="43"/>
      <c r="M2328" s="43">
        <f>L2328*K2328</f>
        <v>0</v>
      </c>
      <c r="N2328" s="35">
        <v>4607149405312</v>
      </c>
    </row>
    <row r="2329" spans="1:14" ht="24" customHeight="1" outlineLevel="3" x14ac:dyDescent="0.2">
      <c r="A2329" s="45">
        <v>14061</v>
      </c>
      <c r="B2329" s="37" t="str">
        <f>HYPERLINK("http://www.sedek.ru/upload/iblock/06b/fasol_tip_top.jpg","фото")</f>
        <v>фото</v>
      </c>
      <c r="C2329" s="38"/>
      <c r="D2329" s="38"/>
      <c r="E2329" s="39"/>
      <c r="F2329" s="39" t="s">
        <v>2897</v>
      </c>
      <c r="G2329" s="40">
        <v>5</v>
      </c>
      <c r="H2329" s="39" t="s">
        <v>101</v>
      </c>
      <c r="I2329" s="39" t="s">
        <v>102</v>
      </c>
      <c r="J2329" s="41">
        <v>1000</v>
      </c>
      <c r="K2329" s="42">
        <v>29.3</v>
      </c>
      <c r="L2329" s="43"/>
      <c r="M2329" s="43">
        <f>L2329*K2329</f>
        <v>0</v>
      </c>
      <c r="N2329" s="35">
        <v>4607116266946</v>
      </c>
    </row>
    <row r="2330" spans="1:14" ht="24" customHeight="1" outlineLevel="3" x14ac:dyDescent="0.2">
      <c r="A2330" s="45">
        <v>14061</v>
      </c>
      <c r="B2330" s="37" t="str">
        <f>HYPERLINK("http://www.sedek.ru/upload/iblock/06b/fasol_tip_top.jpg","фото")</f>
        <v>фото</v>
      </c>
      <c r="C2330" s="38"/>
      <c r="D2330" s="38"/>
      <c r="E2330" s="39"/>
      <c r="F2330" s="39" t="s">
        <v>2898</v>
      </c>
      <c r="G2330" s="40">
        <v>5</v>
      </c>
      <c r="H2330" s="39" t="s">
        <v>101</v>
      </c>
      <c r="I2330" s="39" t="s">
        <v>287</v>
      </c>
      <c r="J2330" s="41">
        <v>1000</v>
      </c>
      <c r="K2330" s="42">
        <v>18.899999999999999</v>
      </c>
      <c r="L2330" s="43"/>
      <c r="M2330" s="43">
        <f>L2330*K2330</f>
        <v>0</v>
      </c>
      <c r="N2330" s="35">
        <v>4607149406098</v>
      </c>
    </row>
    <row r="2331" spans="1:14" ht="36" customHeight="1" outlineLevel="3" x14ac:dyDescent="0.2">
      <c r="A2331" s="46">
        <v>16270</v>
      </c>
      <c r="B2331" s="47" t="str">
        <f>HYPERLINK("http://www.sedek.ru/upload/iblock/129/fasol_udovolstvie_vkusa.jpg","фото")</f>
        <v>фото</v>
      </c>
      <c r="C2331" s="48"/>
      <c r="D2331" s="48"/>
      <c r="E2331" s="49"/>
      <c r="F2331" s="49" t="s">
        <v>2899</v>
      </c>
      <c r="G2331" s="50">
        <v>5</v>
      </c>
      <c r="H2331" s="49" t="s">
        <v>101</v>
      </c>
      <c r="I2331" s="49" t="s">
        <v>102</v>
      </c>
      <c r="J2331" s="51">
        <v>1000</v>
      </c>
      <c r="K2331" s="52">
        <v>26.1</v>
      </c>
      <c r="L2331" s="53"/>
      <c r="M2331" s="53">
        <f>L2331*K2331</f>
        <v>0</v>
      </c>
      <c r="N2331" s="35">
        <v>4607149405329</v>
      </c>
    </row>
    <row r="2332" spans="1:14" ht="36" customHeight="1" outlineLevel="3" x14ac:dyDescent="0.2">
      <c r="A2332" s="71">
        <v>16270</v>
      </c>
      <c r="B2332" s="72" t="str">
        <f>HYPERLINK("http://www.sedek.ru/upload/iblock/129/fasol_udovolstvie_vkusa.jpg","фото")</f>
        <v>фото</v>
      </c>
      <c r="C2332" s="73"/>
      <c r="D2332" s="73"/>
      <c r="E2332" s="74"/>
      <c r="F2332" s="74" t="s">
        <v>2900</v>
      </c>
      <c r="G2332" s="75">
        <v>5</v>
      </c>
      <c r="H2332" s="74" t="s">
        <v>101</v>
      </c>
      <c r="I2332" s="74" t="s">
        <v>287</v>
      </c>
      <c r="J2332" s="76">
        <v>1000</v>
      </c>
      <c r="K2332" s="77">
        <v>15.4</v>
      </c>
      <c r="L2332" s="78"/>
      <c r="M2332" s="78">
        <f>L2332*K2332</f>
        <v>0</v>
      </c>
      <c r="N2332" s="79">
        <v>4607149407446</v>
      </c>
    </row>
    <row r="2333" spans="1:14" ht="36" customHeight="1" outlineLevel="3" x14ac:dyDescent="0.2">
      <c r="A2333" s="45">
        <v>13519</v>
      </c>
      <c r="B2333" s="37" t="str">
        <f>HYPERLINK("http://www.sedek.ru/upload/iblock/d9b/fasol_uslada.jpg","фото")</f>
        <v>фото</v>
      </c>
      <c r="C2333" s="38"/>
      <c r="D2333" s="38"/>
      <c r="E2333" s="39"/>
      <c r="F2333" s="39" t="s">
        <v>2901</v>
      </c>
      <c r="G2333" s="40">
        <v>5</v>
      </c>
      <c r="H2333" s="39" t="s">
        <v>101</v>
      </c>
      <c r="I2333" s="39" t="s">
        <v>102</v>
      </c>
      <c r="J2333" s="41">
        <v>1000</v>
      </c>
      <c r="K2333" s="42">
        <v>27.5</v>
      </c>
      <c r="L2333" s="43"/>
      <c r="M2333" s="43">
        <f>L2333*K2333</f>
        <v>0</v>
      </c>
      <c r="N2333" s="35">
        <v>4690368007337</v>
      </c>
    </row>
    <row r="2334" spans="1:14" ht="24" customHeight="1" outlineLevel="3" x14ac:dyDescent="0.2">
      <c r="A2334" s="45">
        <v>14400</v>
      </c>
      <c r="B2334" s="37" t="str">
        <f>HYPERLINK("http://www.sedek.ru/upload/iblock/d18/fasol_fantaziya.jpg","фото")</f>
        <v>фото</v>
      </c>
      <c r="C2334" s="38"/>
      <c r="D2334" s="38"/>
      <c r="E2334" s="39"/>
      <c r="F2334" s="39" t="s">
        <v>2902</v>
      </c>
      <c r="G2334" s="40">
        <v>5</v>
      </c>
      <c r="H2334" s="39" t="s">
        <v>101</v>
      </c>
      <c r="I2334" s="39" t="s">
        <v>102</v>
      </c>
      <c r="J2334" s="41">
        <v>1000</v>
      </c>
      <c r="K2334" s="42">
        <v>29.3</v>
      </c>
      <c r="L2334" s="43"/>
      <c r="M2334" s="43">
        <f>L2334*K2334</f>
        <v>0</v>
      </c>
      <c r="N2334" s="35">
        <v>4607116262245</v>
      </c>
    </row>
    <row r="2335" spans="1:14" ht="24" customHeight="1" outlineLevel="3" x14ac:dyDescent="0.2">
      <c r="A2335" s="45">
        <v>16497</v>
      </c>
      <c r="B2335" s="37" t="str">
        <f>HYPERLINK("http://www.sedek.ru/upload/iblock/183/fasol_khelda.JPG","фото")</f>
        <v>фото</v>
      </c>
      <c r="C2335" s="38"/>
      <c r="D2335" s="38"/>
      <c r="E2335" s="39"/>
      <c r="F2335" s="39" t="s">
        <v>2903</v>
      </c>
      <c r="G2335" s="40">
        <v>5</v>
      </c>
      <c r="H2335" s="39" t="s">
        <v>101</v>
      </c>
      <c r="I2335" s="39" t="s">
        <v>102</v>
      </c>
      <c r="J2335" s="41">
        <v>1000</v>
      </c>
      <c r="K2335" s="42">
        <v>29.6</v>
      </c>
      <c r="L2335" s="43"/>
      <c r="M2335" s="43">
        <f>L2335*K2335</f>
        <v>0</v>
      </c>
      <c r="N2335" s="35">
        <v>4607116269633</v>
      </c>
    </row>
    <row r="2336" spans="1:14" ht="24" customHeight="1" outlineLevel="3" x14ac:dyDescent="0.2">
      <c r="A2336" s="45">
        <v>14391</v>
      </c>
      <c r="B2336" s="37" t="str">
        <f>HYPERLINK("http://www.sedek.ru/upload/iblock/67f/fasol_charodeyka.jpg","фото")</f>
        <v>фото</v>
      </c>
      <c r="C2336" s="38"/>
      <c r="D2336" s="38"/>
      <c r="E2336" s="39"/>
      <c r="F2336" s="39" t="s">
        <v>2904</v>
      </c>
      <c r="G2336" s="40">
        <v>5</v>
      </c>
      <c r="H2336" s="39" t="s">
        <v>101</v>
      </c>
      <c r="I2336" s="39" t="s">
        <v>102</v>
      </c>
      <c r="J2336" s="41">
        <v>1000</v>
      </c>
      <c r="K2336" s="42">
        <v>29.6</v>
      </c>
      <c r="L2336" s="43"/>
      <c r="M2336" s="43">
        <f>L2336*K2336</f>
        <v>0</v>
      </c>
      <c r="N2336" s="35">
        <v>4607116262269</v>
      </c>
    </row>
    <row r="2337" spans="1:14" ht="24" customHeight="1" outlineLevel="3" x14ac:dyDescent="0.2">
      <c r="A2337" s="46">
        <v>15114</v>
      </c>
      <c r="B2337" s="47" t="str">
        <f>HYPERLINK("http://www.sedek.ru/upload/iblock/89d/fasol_evrika.jpg","фото")</f>
        <v>фото</v>
      </c>
      <c r="C2337" s="48"/>
      <c r="D2337" s="48"/>
      <c r="E2337" s="49"/>
      <c r="F2337" s="49" t="s">
        <v>2905</v>
      </c>
      <c r="G2337" s="50">
        <v>5</v>
      </c>
      <c r="H2337" s="49" t="s">
        <v>101</v>
      </c>
      <c r="I2337" s="49" t="s">
        <v>102</v>
      </c>
      <c r="J2337" s="51">
        <v>1000</v>
      </c>
      <c r="K2337" s="52">
        <v>26.1</v>
      </c>
      <c r="L2337" s="53"/>
      <c r="M2337" s="53">
        <f>L2337*K2337</f>
        <v>0</v>
      </c>
      <c r="N2337" s="35">
        <v>4607116262276</v>
      </c>
    </row>
    <row r="2338" spans="1:14" ht="12" customHeight="1" outlineLevel="2" x14ac:dyDescent="0.2">
      <c r="A2338" s="22"/>
      <c r="B2338" s="23"/>
      <c r="C2338" s="23"/>
      <c r="D2338" s="23"/>
      <c r="E2338" s="24"/>
      <c r="F2338" s="24" t="s">
        <v>2906</v>
      </c>
      <c r="G2338" s="24"/>
      <c r="H2338" s="24"/>
      <c r="I2338" s="24"/>
      <c r="J2338" s="24"/>
      <c r="K2338" s="24"/>
      <c r="L2338" s="24"/>
      <c r="M2338" s="24"/>
      <c r="N2338" s="25"/>
    </row>
    <row r="2339" spans="1:14" ht="36" customHeight="1" outlineLevel="3" x14ac:dyDescent="0.2">
      <c r="A2339" s="45">
        <v>14184</v>
      </c>
      <c r="B2339" s="37" t="str">
        <f>HYPERLINK("http://sedek.ru/upload/iblock/6de/fenkhel_datskiy_korol.jpg","фото")</f>
        <v>фото</v>
      </c>
      <c r="C2339" s="38"/>
      <c r="D2339" s="38"/>
      <c r="E2339" s="39"/>
      <c r="F2339" s="39" t="s">
        <v>2907</v>
      </c>
      <c r="G2339" s="44">
        <v>0.5</v>
      </c>
      <c r="H2339" s="39" t="s">
        <v>101</v>
      </c>
      <c r="I2339" s="39" t="s">
        <v>102</v>
      </c>
      <c r="J2339" s="41">
        <v>2500</v>
      </c>
      <c r="K2339" s="42">
        <v>20.5</v>
      </c>
      <c r="L2339" s="43"/>
      <c r="M2339" s="43">
        <f>L2339*K2339</f>
        <v>0</v>
      </c>
      <c r="N2339" s="35">
        <v>4690368019705</v>
      </c>
    </row>
    <row r="2340" spans="1:14" ht="36" customHeight="1" outlineLevel="3" x14ac:dyDescent="0.2">
      <c r="A2340" s="45">
        <v>14762</v>
      </c>
      <c r="B2340" s="37" t="str">
        <f>HYPERLINK("http://www.sedek.ru/upload/iblock/e29/fenkhel_kazanova.jpg","фото")</f>
        <v>фото</v>
      </c>
      <c r="C2340" s="38"/>
      <c r="D2340" s="38"/>
      <c r="E2340" s="39"/>
      <c r="F2340" s="39" t="s">
        <v>2908</v>
      </c>
      <c r="G2340" s="44">
        <v>0.5</v>
      </c>
      <c r="H2340" s="39" t="s">
        <v>101</v>
      </c>
      <c r="I2340" s="39" t="s">
        <v>102</v>
      </c>
      <c r="J2340" s="41">
        <v>2500</v>
      </c>
      <c r="K2340" s="42">
        <v>20.5</v>
      </c>
      <c r="L2340" s="43"/>
      <c r="M2340" s="43">
        <f>L2340*K2340</f>
        <v>0</v>
      </c>
      <c r="N2340" s="35">
        <v>4607116262283</v>
      </c>
    </row>
    <row r="2341" spans="1:14" ht="36" customHeight="1" outlineLevel="3" x14ac:dyDescent="0.2">
      <c r="A2341" s="45">
        <v>14018</v>
      </c>
      <c r="B2341" s="37" t="str">
        <f>HYPERLINK("http://www.sedek.ru/upload/iblock/802/fenkhel_osenniy_krasavets.jpg","фото")</f>
        <v>фото</v>
      </c>
      <c r="C2341" s="38"/>
      <c r="D2341" s="38" t="s">
        <v>266</v>
      </c>
      <c r="E2341" s="39"/>
      <c r="F2341" s="39" t="s">
        <v>2909</v>
      </c>
      <c r="G2341" s="44">
        <v>0.5</v>
      </c>
      <c r="H2341" s="39" t="s">
        <v>101</v>
      </c>
      <c r="I2341" s="39" t="s">
        <v>102</v>
      </c>
      <c r="J2341" s="41">
        <v>2500</v>
      </c>
      <c r="K2341" s="42">
        <v>20.5</v>
      </c>
      <c r="L2341" s="43"/>
      <c r="M2341" s="43">
        <f>L2341*K2341</f>
        <v>0</v>
      </c>
      <c r="N2341" s="35">
        <v>4690368010085</v>
      </c>
    </row>
    <row r="2342" spans="1:14" ht="36" customHeight="1" outlineLevel="3" x14ac:dyDescent="0.2">
      <c r="A2342" s="45">
        <v>13879</v>
      </c>
      <c r="B2342" s="37" t="str">
        <f>HYPERLINK("http://www.sedek.ru/upload/iblock/185/fenkhel_udalets.jpg","фото")</f>
        <v>фото</v>
      </c>
      <c r="C2342" s="38"/>
      <c r="D2342" s="38"/>
      <c r="E2342" s="39"/>
      <c r="F2342" s="39" t="s">
        <v>2910</v>
      </c>
      <c r="G2342" s="44">
        <v>0.5</v>
      </c>
      <c r="H2342" s="39" t="s">
        <v>101</v>
      </c>
      <c r="I2342" s="39" t="s">
        <v>102</v>
      </c>
      <c r="J2342" s="41">
        <v>2500</v>
      </c>
      <c r="K2342" s="42">
        <v>20.5</v>
      </c>
      <c r="L2342" s="43"/>
      <c r="M2342" s="43">
        <f>L2342*K2342</f>
        <v>0</v>
      </c>
      <c r="N2342" s="35">
        <v>4607149401758</v>
      </c>
    </row>
    <row r="2343" spans="1:14" ht="12" customHeight="1" outlineLevel="2" x14ac:dyDescent="0.2">
      <c r="A2343" s="22"/>
      <c r="B2343" s="23"/>
      <c r="C2343" s="23"/>
      <c r="D2343" s="23"/>
      <c r="E2343" s="24"/>
      <c r="F2343" s="24" t="s">
        <v>2911</v>
      </c>
      <c r="G2343" s="24"/>
      <c r="H2343" s="24"/>
      <c r="I2343" s="24"/>
      <c r="J2343" s="24"/>
      <c r="K2343" s="24"/>
      <c r="L2343" s="24"/>
      <c r="M2343" s="24"/>
      <c r="N2343" s="25"/>
    </row>
    <row r="2344" spans="1:14" ht="24" customHeight="1" outlineLevel="3" x14ac:dyDescent="0.2">
      <c r="A2344" s="45">
        <v>14199</v>
      </c>
      <c r="B2344" s="37" t="str">
        <f>HYPERLINK("http://sedek.ru/upload/iblock/4a3/fizalis_ananasovyy.jpg","фото")</f>
        <v>фото</v>
      </c>
      <c r="C2344" s="38"/>
      <c r="D2344" s="38"/>
      <c r="E2344" s="39"/>
      <c r="F2344" s="39" t="s">
        <v>2912</v>
      </c>
      <c r="G2344" s="44">
        <v>0.1</v>
      </c>
      <c r="H2344" s="39" t="s">
        <v>101</v>
      </c>
      <c r="I2344" s="39" t="s">
        <v>102</v>
      </c>
      <c r="J2344" s="41">
        <v>3000</v>
      </c>
      <c r="K2344" s="42">
        <v>20.5</v>
      </c>
      <c r="L2344" s="43"/>
      <c r="M2344" s="43">
        <f>L2344*K2344</f>
        <v>0</v>
      </c>
      <c r="N2344" s="35">
        <v>4690368012621</v>
      </c>
    </row>
    <row r="2345" spans="1:14" ht="24" customHeight="1" outlineLevel="3" x14ac:dyDescent="0.2">
      <c r="A2345" s="45">
        <v>15070</v>
      </c>
      <c r="B2345" s="37" t="str">
        <f>HYPERLINK("http://sedek.ru/upload/iblock/513/fizalis_dzhemovyy.jpg","фото")</f>
        <v>фото</v>
      </c>
      <c r="C2345" s="38"/>
      <c r="D2345" s="38"/>
      <c r="E2345" s="39"/>
      <c r="F2345" s="39" t="s">
        <v>2913</v>
      </c>
      <c r="G2345" s="44">
        <v>0.1</v>
      </c>
      <c r="H2345" s="39" t="s">
        <v>101</v>
      </c>
      <c r="I2345" s="39" t="s">
        <v>102</v>
      </c>
      <c r="J2345" s="41">
        <v>3000</v>
      </c>
      <c r="K2345" s="42">
        <v>20.5</v>
      </c>
      <c r="L2345" s="43"/>
      <c r="M2345" s="43">
        <f>L2345*K2345</f>
        <v>0</v>
      </c>
      <c r="N2345" s="35">
        <v>4690368012638</v>
      </c>
    </row>
    <row r="2346" spans="1:14" ht="48" customHeight="1" outlineLevel="3" x14ac:dyDescent="0.2">
      <c r="A2346" s="45">
        <v>15056</v>
      </c>
      <c r="B2346" s="37" t="str">
        <f>HYPERLINK("http://sedek.ru/upload/iblock/12d/fizalis_zolotaya_rossyp_zemlyanichnyy.jpg","фото")</f>
        <v>фото</v>
      </c>
      <c r="C2346" s="38"/>
      <c r="D2346" s="38"/>
      <c r="E2346" s="39"/>
      <c r="F2346" s="39" t="s">
        <v>2914</v>
      </c>
      <c r="G2346" s="44">
        <v>0.1</v>
      </c>
      <c r="H2346" s="39" t="s">
        <v>101</v>
      </c>
      <c r="I2346" s="39" t="s">
        <v>102</v>
      </c>
      <c r="J2346" s="41">
        <v>3000</v>
      </c>
      <c r="K2346" s="42">
        <v>20.5</v>
      </c>
      <c r="L2346" s="43"/>
      <c r="M2346" s="43">
        <f>L2346*K2346</f>
        <v>0</v>
      </c>
      <c r="N2346" s="35">
        <v>4607116262290</v>
      </c>
    </row>
    <row r="2347" spans="1:14" ht="36" customHeight="1" outlineLevel="3" x14ac:dyDescent="0.2">
      <c r="A2347" s="45">
        <v>15217</v>
      </c>
      <c r="B2347" s="37" t="str">
        <f>HYPERLINK("http://www.sedek.ru/upload/iblock/9ed/fizalis_konditer.jpg","фото")</f>
        <v>фото</v>
      </c>
      <c r="C2347" s="38"/>
      <c r="D2347" s="38"/>
      <c r="E2347" s="39"/>
      <c r="F2347" s="39" t="s">
        <v>2915</v>
      </c>
      <c r="G2347" s="44">
        <v>0.1</v>
      </c>
      <c r="H2347" s="39" t="s">
        <v>101</v>
      </c>
      <c r="I2347" s="39" t="s">
        <v>102</v>
      </c>
      <c r="J2347" s="41">
        <v>3000</v>
      </c>
      <c r="K2347" s="42">
        <v>20.5</v>
      </c>
      <c r="L2347" s="43"/>
      <c r="M2347" s="43">
        <f>L2347*K2347</f>
        <v>0</v>
      </c>
      <c r="N2347" s="35">
        <v>4607116262306</v>
      </c>
    </row>
    <row r="2348" spans="1:14" ht="36" customHeight="1" outlineLevel="3" x14ac:dyDescent="0.2">
      <c r="A2348" s="45">
        <v>16024</v>
      </c>
      <c r="B2348" s="37" t="str">
        <f>HYPERLINK("http://sedek.ru/upload/iblock/fc1/fizalis_korolyek_ovoshchnoy.jpg","фото")</f>
        <v>фото</v>
      </c>
      <c r="C2348" s="38"/>
      <c r="D2348" s="38"/>
      <c r="E2348" s="39"/>
      <c r="F2348" s="39" t="s">
        <v>2916</v>
      </c>
      <c r="G2348" s="44">
        <v>0.1</v>
      </c>
      <c r="H2348" s="39" t="s">
        <v>101</v>
      </c>
      <c r="I2348" s="39" t="s">
        <v>102</v>
      </c>
      <c r="J2348" s="41">
        <v>3000</v>
      </c>
      <c r="K2348" s="42">
        <v>20.5</v>
      </c>
      <c r="L2348" s="43"/>
      <c r="M2348" s="43">
        <f>L2348*K2348</f>
        <v>0</v>
      </c>
      <c r="N2348" s="35">
        <v>4607116262313</v>
      </c>
    </row>
    <row r="2349" spans="1:14" ht="36" customHeight="1" outlineLevel="3" x14ac:dyDescent="0.2">
      <c r="A2349" s="36" t="s">
        <v>2917</v>
      </c>
      <c r="B2349" s="37" t="str">
        <f>HYPERLINK("http://sedek.ru/upload/iblock/430/fizalis_konditer_ovoshchnoy.jpg","фото")</f>
        <v>фото</v>
      </c>
      <c r="C2349" s="38"/>
      <c r="D2349" s="38"/>
      <c r="E2349" s="39"/>
      <c r="F2349" s="39" t="s">
        <v>2918</v>
      </c>
      <c r="G2349" s="44">
        <v>0.1</v>
      </c>
      <c r="H2349" s="39" t="s">
        <v>101</v>
      </c>
      <c r="I2349" s="39" t="s">
        <v>102</v>
      </c>
      <c r="J2349" s="41">
        <v>3000</v>
      </c>
      <c r="K2349" s="42">
        <v>20.5</v>
      </c>
      <c r="L2349" s="43"/>
      <c r="M2349" s="43">
        <f>L2349*K2349</f>
        <v>0</v>
      </c>
      <c r="N2349" s="35">
        <v>4690368031325</v>
      </c>
    </row>
    <row r="2350" spans="1:14" ht="36" customHeight="1" outlineLevel="3" x14ac:dyDescent="0.2">
      <c r="A2350" s="45">
        <v>14241</v>
      </c>
      <c r="B2350" s="37" t="str">
        <f>HYPERLINK("http://sedek.ru/upload/iblock/528/fizalis_marmeladnyy.jpg","фото")</f>
        <v>фото</v>
      </c>
      <c r="C2350" s="38"/>
      <c r="D2350" s="38"/>
      <c r="E2350" s="39"/>
      <c r="F2350" s="39" t="s">
        <v>2919</v>
      </c>
      <c r="G2350" s="44">
        <v>0.1</v>
      </c>
      <c r="H2350" s="39" t="s">
        <v>101</v>
      </c>
      <c r="I2350" s="39" t="s">
        <v>102</v>
      </c>
      <c r="J2350" s="41">
        <v>3000</v>
      </c>
      <c r="K2350" s="42">
        <v>20.5</v>
      </c>
      <c r="L2350" s="43"/>
      <c r="M2350" s="43">
        <f>L2350*K2350</f>
        <v>0</v>
      </c>
      <c r="N2350" s="35">
        <v>4607149405282</v>
      </c>
    </row>
    <row r="2351" spans="1:14" ht="12" customHeight="1" outlineLevel="2" x14ac:dyDescent="0.2">
      <c r="A2351" s="22"/>
      <c r="B2351" s="23"/>
      <c r="C2351" s="23"/>
      <c r="D2351" s="23"/>
      <c r="E2351" s="24"/>
      <c r="F2351" s="24" t="s">
        <v>2920</v>
      </c>
      <c r="G2351" s="24"/>
      <c r="H2351" s="24"/>
      <c r="I2351" s="24"/>
      <c r="J2351" s="24"/>
      <c r="K2351" s="24"/>
      <c r="L2351" s="24"/>
      <c r="M2351" s="24"/>
      <c r="N2351" s="25"/>
    </row>
    <row r="2352" spans="1:14" ht="48" customHeight="1" outlineLevel="3" x14ac:dyDescent="0.2">
      <c r="A2352" s="45">
        <v>14904</v>
      </c>
      <c r="B2352" s="37" t="str">
        <f>HYPERLINK("http://www.sedek.ru/upload/iblock/83f/khrizantema_ovoshchnaya_debyut.jpg","Фото")</f>
        <v>Фото</v>
      </c>
      <c r="C2352" s="38"/>
      <c r="D2352" s="38"/>
      <c r="E2352" s="39"/>
      <c r="F2352" s="39" t="s">
        <v>2921</v>
      </c>
      <c r="G2352" s="44">
        <v>0.5</v>
      </c>
      <c r="H2352" s="39" t="s">
        <v>101</v>
      </c>
      <c r="I2352" s="39" t="s">
        <v>102</v>
      </c>
      <c r="J2352" s="41">
        <v>1000</v>
      </c>
      <c r="K2352" s="42">
        <v>20.8</v>
      </c>
      <c r="L2352" s="43"/>
      <c r="M2352" s="43">
        <f>L2352*K2352</f>
        <v>0</v>
      </c>
      <c r="N2352" s="35">
        <v>4690368019712</v>
      </c>
    </row>
    <row r="2353" spans="1:14" ht="59.1" customHeight="1" outlineLevel="3" x14ac:dyDescent="0.2">
      <c r="A2353" s="45">
        <v>14905</v>
      </c>
      <c r="B2353" s="37" t="str">
        <f>HYPERLINK("http://sedek.ru/upload/iblock/a21/khrizantema_zhozefina.jpg","фото")</f>
        <v>фото</v>
      </c>
      <c r="C2353" s="38"/>
      <c r="D2353" s="38"/>
      <c r="E2353" s="39"/>
      <c r="F2353" s="39" t="s">
        <v>2922</v>
      </c>
      <c r="G2353" s="44">
        <v>0.5</v>
      </c>
      <c r="H2353" s="39" t="s">
        <v>101</v>
      </c>
      <c r="I2353" s="39" t="s">
        <v>102</v>
      </c>
      <c r="J2353" s="41">
        <v>1000</v>
      </c>
      <c r="K2353" s="42">
        <v>20.8</v>
      </c>
      <c r="L2353" s="43"/>
      <c r="M2353" s="43">
        <f>L2353*K2353</f>
        <v>0</v>
      </c>
      <c r="N2353" s="35">
        <v>4690368026017</v>
      </c>
    </row>
    <row r="2354" spans="1:14" ht="12" customHeight="1" outlineLevel="2" x14ac:dyDescent="0.2">
      <c r="A2354" s="22"/>
      <c r="B2354" s="23"/>
      <c r="C2354" s="23"/>
      <c r="D2354" s="23"/>
      <c r="E2354" s="24"/>
      <c r="F2354" s="24" t="s">
        <v>2923</v>
      </c>
      <c r="G2354" s="24"/>
      <c r="H2354" s="24"/>
      <c r="I2354" s="24"/>
      <c r="J2354" s="24"/>
      <c r="K2354" s="24"/>
      <c r="L2354" s="24"/>
      <c r="M2354" s="24"/>
      <c r="N2354" s="25"/>
    </row>
    <row r="2355" spans="1:14" ht="24" customHeight="1" outlineLevel="3" x14ac:dyDescent="0.2">
      <c r="A2355" s="45">
        <v>15431</v>
      </c>
      <c r="B2355" s="37" t="str">
        <f>HYPERLINK("http://sedek.ru/upload/iblock/a32/ageratum_golubaya_skazka.jpg","фото")</f>
        <v>фото</v>
      </c>
      <c r="C2355" s="38"/>
      <c r="D2355" s="38"/>
      <c r="E2355" s="39"/>
      <c r="F2355" s="39" t="s">
        <v>2924</v>
      </c>
      <c r="G2355" s="44">
        <v>0.1</v>
      </c>
      <c r="H2355" s="39" t="s">
        <v>101</v>
      </c>
      <c r="I2355" s="39" t="s">
        <v>102</v>
      </c>
      <c r="J2355" s="41">
        <v>3500</v>
      </c>
      <c r="K2355" s="42">
        <v>21.4</v>
      </c>
      <c r="L2355" s="43"/>
      <c r="M2355" s="43">
        <f>L2355*K2355</f>
        <v>0</v>
      </c>
      <c r="N2355" s="35">
        <v>4607116262399</v>
      </c>
    </row>
    <row r="2356" spans="1:14" ht="24" customHeight="1" outlineLevel="3" x14ac:dyDescent="0.2">
      <c r="A2356" s="45">
        <v>16002</v>
      </c>
      <c r="B2356" s="37" t="str">
        <f>HYPERLINK("http://sedek.ru/upload/iblock/ae1/ageratum_ellada.jpg","фото")</f>
        <v>фото</v>
      </c>
      <c r="C2356" s="38"/>
      <c r="D2356" s="38"/>
      <c r="E2356" s="39"/>
      <c r="F2356" s="39" t="s">
        <v>2925</v>
      </c>
      <c r="G2356" s="44">
        <v>0.1</v>
      </c>
      <c r="H2356" s="39" t="s">
        <v>101</v>
      </c>
      <c r="I2356" s="39" t="s">
        <v>102</v>
      </c>
      <c r="J2356" s="41">
        <v>3500</v>
      </c>
      <c r="K2356" s="42">
        <v>25.9</v>
      </c>
      <c r="L2356" s="43"/>
      <c r="M2356" s="43">
        <f>L2356*K2356</f>
        <v>0</v>
      </c>
      <c r="N2356" s="35">
        <v>4607116262382</v>
      </c>
    </row>
    <row r="2357" spans="1:14" ht="24" customHeight="1" outlineLevel="3" x14ac:dyDescent="0.2">
      <c r="A2357" s="45">
        <v>16422</v>
      </c>
      <c r="B2357" s="37" t="str">
        <f>HYPERLINK("http://sedek.ru/upload/iblock/d75/adonis_krasnaya_shapochka.jpg","фото")</f>
        <v>фото</v>
      </c>
      <c r="C2357" s="38"/>
      <c r="D2357" s="38"/>
      <c r="E2357" s="39"/>
      <c r="F2357" s="39" t="s">
        <v>2926</v>
      </c>
      <c r="G2357" s="40">
        <v>1</v>
      </c>
      <c r="H2357" s="39" t="s">
        <v>101</v>
      </c>
      <c r="I2357" s="39" t="s">
        <v>102</v>
      </c>
      <c r="J2357" s="41">
        <v>1500</v>
      </c>
      <c r="K2357" s="42">
        <v>21.4</v>
      </c>
      <c r="L2357" s="43"/>
      <c r="M2357" s="43">
        <f>L2357*K2357</f>
        <v>0</v>
      </c>
      <c r="N2357" s="35">
        <v>4607116262436</v>
      </c>
    </row>
    <row r="2358" spans="1:14" ht="24" customHeight="1" outlineLevel="3" x14ac:dyDescent="0.2">
      <c r="A2358" s="45">
        <v>16291</v>
      </c>
      <c r="B2358" s="37" t="str">
        <f>HYPERLINK("http://sedek.ru/upload/iblock/300/azarina_fantaziya_lazyashchaya_smes_tsvetov.jpg","фото")</f>
        <v>фото</v>
      </c>
      <c r="C2358" s="38"/>
      <c r="D2358" s="38"/>
      <c r="E2358" s="39"/>
      <c r="F2358" s="39" t="s">
        <v>2927</v>
      </c>
      <c r="G2358" s="54">
        <v>0.01</v>
      </c>
      <c r="H2358" s="39" t="s">
        <v>101</v>
      </c>
      <c r="I2358" s="39" t="s">
        <v>102</v>
      </c>
      <c r="J2358" s="41">
        <v>4000</v>
      </c>
      <c r="K2358" s="42">
        <v>116.6</v>
      </c>
      <c r="L2358" s="43"/>
      <c r="M2358" s="43">
        <f>L2358*K2358</f>
        <v>0</v>
      </c>
      <c r="N2358" s="35">
        <v>4607116262443</v>
      </c>
    </row>
    <row r="2359" spans="1:14" ht="24" customHeight="1" outlineLevel="3" x14ac:dyDescent="0.2">
      <c r="A2359" s="45">
        <v>17076</v>
      </c>
      <c r="B2359" s="37" t="str">
        <f>HYPERLINK("http://sedek.ru/upload/iblock/dc5/akvilegiya_belaya_zvezda_vid_golubaya.jpg","фото")</f>
        <v>фото</v>
      </c>
      <c r="C2359" s="38"/>
      <c r="D2359" s="38"/>
      <c r="E2359" s="39"/>
      <c r="F2359" s="39" t="s">
        <v>2928</v>
      </c>
      <c r="G2359" s="44">
        <v>0.1</v>
      </c>
      <c r="H2359" s="39" t="s">
        <v>101</v>
      </c>
      <c r="I2359" s="39" t="s">
        <v>102</v>
      </c>
      <c r="J2359" s="41">
        <v>3000</v>
      </c>
      <c r="K2359" s="42">
        <v>43.37</v>
      </c>
      <c r="L2359" s="43"/>
      <c r="M2359" s="43">
        <f>L2359*K2359</f>
        <v>0</v>
      </c>
      <c r="N2359" s="35">
        <v>4690368022866</v>
      </c>
    </row>
    <row r="2360" spans="1:14" ht="24" customHeight="1" outlineLevel="3" x14ac:dyDescent="0.2">
      <c r="A2360" s="45">
        <v>15695</v>
      </c>
      <c r="B2360" s="37" t="str">
        <f>HYPERLINK("http://sedek.ru/upload/iblock/70d/akvilegiya_vostochnaya_sladost.jpg","фото")</f>
        <v>фото</v>
      </c>
      <c r="C2360" s="38"/>
      <c r="D2360" s="38"/>
      <c r="E2360" s="39"/>
      <c r="F2360" s="39" t="s">
        <v>2929</v>
      </c>
      <c r="G2360" s="54">
        <v>0.06</v>
      </c>
      <c r="H2360" s="39" t="s">
        <v>101</v>
      </c>
      <c r="I2360" s="39" t="s">
        <v>102</v>
      </c>
      <c r="J2360" s="41">
        <v>3000</v>
      </c>
      <c r="K2360" s="42">
        <v>41.8</v>
      </c>
      <c r="L2360" s="43"/>
      <c r="M2360" s="43">
        <f>L2360*K2360</f>
        <v>0</v>
      </c>
      <c r="N2360" s="35">
        <v>4607149404155</v>
      </c>
    </row>
    <row r="2361" spans="1:14" ht="24" customHeight="1" outlineLevel="3" x14ac:dyDescent="0.2">
      <c r="A2361" s="46">
        <v>17075</v>
      </c>
      <c r="B2361" s="47" t="str">
        <f>HYPERLINK("http://sedek.ru/upload/iblock/189/akvilegiya_golubaya_zvezda_vid_golubaya.jpg","фото")</f>
        <v>фото</v>
      </c>
      <c r="C2361" s="48"/>
      <c r="D2361" s="48"/>
      <c r="E2361" s="49"/>
      <c r="F2361" s="49" t="s">
        <v>2930</v>
      </c>
      <c r="G2361" s="56">
        <v>0.1</v>
      </c>
      <c r="H2361" s="49" t="s">
        <v>101</v>
      </c>
      <c r="I2361" s="49" t="s">
        <v>102</v>
      </c>
      <c r="J2361" s="51">
        <v>3000</v>
      </c>
      <c r="K2361" s="52">
        <v>50.8</v>
      </c>
      <c r="L2361" s="53"/>
      <c r="M2361" s="53">
        <f>L2361*K2361</f>
        <v>0</v>
      </c>
      <c r="N2361" s="35">
        <v>4690368022873</v>
      </c>
    </row>
    <row r="2362" spans="1:14" ht="24" customHeight="1" outlineLevel="3" x14ac:dyDescent="0.2">
      <c r="A2362" s="45">
        <v>15142</v>
      </c>
      <c r="B2362" s="37" t="str">
        <f>HYPERLINK("http://sedek.ru/upload/iblock/bb7/akvilegiya_krasnaya_zvezda.jpg","фото")</f>
        <v>фото</v>
      </c>
      <c r="C2362" s="38"/>
      <c r="D2362" s="38"/>
      <c r="E2362" s="39"/>
      <c r="F2362" s="39" t="s">
        <v>2931</v>
      </c>
      <c r="G2362" s="54">
        <v>0.05</v>
      </c>
      <c r="H2362" s="39" t="s">
        <v>101</v>
      </c>
      <c r="I2362" s="39" t="s">
        <v>102</v>
      </c>
      <c r="J2362" s="41">
        <v>3000</v>
      </c>
      <c r="K2362" s="42">
        <v>38.6</v>
      </c>
      <c r="L2362" s="43"/>
      <c r="M2362" s="43">
        <f>L2362*K2362</f>
        <v>0</v>
      </c>
      <c r="N2362" s="35">
        <v>4607149401079</v>
      </c>
    </row>
    <row r="2363" spans="1:14" ht="36" customHeight="1" outlineLevel="3" x14ac:dyDescent="0.2">
      <c r="A2363" s="46">
        <v>16464</v>
      </c>
      <c r="B2363" s="47" t="str">
        <f>HYPERLINK("http://sedek.ru/upload/iblock/ee3/akvilegiya_nimfa.jpg","фото")</f>
        <v>фото</v>
      </c>
      <c r="C2363" s="48"/>
      <c r="D2363" s="48"/>
      <c r="E2363" s="49"/>
      <c r="F2363" s="49" t="s">
        <v>2932</v>
      </c>
      <c r="G2363" s="58">
        <v>0.05</v>
      </c>
      <c r="H2363" s="49" t="s">
        <v>101</v>
      </c>
      <c r="I2363" s="49" t="s">
        <v>102</v>
      </c>
      <c r="J2363" s="51">
        <v>3000</v>
      </c>
      <c r="K2363" s="52">
        <v>20.3</v>
      </c>
      <c r="L2363" s="53"/>
      <c r="M2363" s="53">
        <f>L2363*K2363</f>
        <v>0</v>
      </c>
      <c r="N2363" s="35">
        <v>4607116262450</v>
      </c>
    </row>
    <row r="2364" spans="1:14" ht="24" customHeight="1" outlineLevel="3" x14ac:dyDescent="0.2">
      <c r="A2364" s="45">
        <v>14909</v>
      </c>
      <c r="B2364" s="37" t="str">
        <f>HYPERLINK("http://sedek.ru/upload/iblock/73f/akvilegiya_rozovaya_koroleva.jpg","фото")</f>
        <v>фото</v>
      </c>
      <c r="C2364" s="38"/>
      <c r="D2364" s="38"/>
      <c r="E2364" s="39"/>
      <c r="F2364" s="39" t="s">
        <v>2933</v>
      </c>
      <c r="G2364" s="54">
        <v>0.05</v>
      </c>
      <c r="H2364" s="39" t="s">
        <v>101</v>
      </c>
      <c r="I2364" s="39" t="s">
        <v>102</v>
      </c>
      <c r="J2364" s="41">
        <v>3000</v>
      </c>
      <c r="K2364" s="42">
        <v>31.2</v>
      </c>
      <c r="L2364" s="43"/>
      <c r="M2364" s="43">
        <f>L2364*K2364</f>
        <v>0</v>
      </c>
      <c r="N2364" s="35">
        <v>4690368017589</v>
      </c>
    </row>
    <row r="2365" spans="1:14" ht="36" customHeight="1" outlineLevel="3" x14ac:dyDescent="0.2">
      <c r="A2365" s="45">
        <v>15404</v>
      </c>
      <c r="B2365" s="37" t="str">
        <f>HYPERLINK("http://sedek.ru/upload/iblock/5c8/akvilegiya_songbira.jpg","фото")</f>
        <v>фото</v>
      </c>
      <c r="C2365" s="38"/>
      <c r="D2365" s="38"/>
      <c r="E2365" s="39"/>
      <c r="F2365" s="39" t="s">
        <v>2934</v>
      </c>
      <c r="G2365" s="54">
        <v>0.05</v>
      </c>
      <c r="H2365" s="39" t="s">
        <v>101</v>
      </c>
      <c r="I2365" s="39" t="s">
        <v>102</v>
      </c>
      <c r="J2365" s="41">
        <v>3000</v>
      </c>
      <c r="K2365" s="42">
        <v>21.4</v>
      </c>
      <c r="L2365" s="43"/>
      <c r="M2365" s="43">
        <f>L2365*K2365</f>
        <v>0</v>
      </c>
      <c r="N2365" s="35">
        <v>4607116262467</v>
      </c>
    </row>
    <row r="2366" spans="1:14" ht="24" customHeight="1" outlineLevel="3" x14ac:dyDescent="0.2">
      <c r="A2366" s="45">
        <v>14230</v>
      </c>
      <c r="B2366" s="37" t="str">
        <f>HYPERLINK("http://sedek.ru/upload/iblock/61b/akroklinum_virtuoz.jpg","фото")</f>
        <v>фото</v>
      </c>
      <c r="C2366" s="38"/>
      <c r="D2366" s="38"/>
      <c r="E2366" s="39"/>
      <c r="F2366" s="39" t="s">
        <v>2935</v>
      </c>
      <c r="G2366" s="44">
        <v>0.1</v>
      </c>
      <c r="H2366" s="39" t="s">
        <v>101</v>
      </c>
      <c r="I2366" s="39" t="s">
        <v>102</v>
      </c>
      <c r="J2366" s="41">
        <v>3000</v>
      </c>
      <c r="K2366" s="42">
        <v>27.4</v>
      </c>
      <c r="L2366" s="43"/>
      <c r="M2366" s="43">
        <f>L2366*K2366</f>
        <v>0</v>
      </c>
      <c r="N2366" s="35">
        <v>4607116262474</v>
      </c>
    </row>
    <row r="2367" spans="1:14" ht="24" customHeight="1" outlineLevel="3" x14ac:dyDescent="0.2">
      <c r="A2367" s="45">
        <v>15743</v>
      </c>
      <c r="B2367" s="37" t="str">
        <f>HYPERLINK("http://sedek.ru/upload/iblock/1bc/alissum_versal_morskoy.jpg","фото")</f>
        <v>фото</v>
      </c>
      <c r="C2367" s="38"/>
      <c r="D2367" s="38"/>
      <c r="E2367" s="39"/>
      <c r="F2367" s="39" t="s">
        <v>2936</v>
      </c>
      <c r="G2367" s="44">
        <v>0.1</v>
      </c>
      <c r="H2367" s="39" t="s">
        <v>101</v>
      </c>
      <c r="I2367" s="39" t="s">
        <v>102</v>
      </c>
      <c r="J2367" s="41">
        <v>5000</v>
      </c>
      <c r="K2367" s="42">
        <v>21.4</v>
      </c>
      <c r="L2367" s="43"/>
      <c r="M2367" s="43">
        <f>L2367*K2367</f>
        <v>0</v>
      </c>
      <c r="N2367" s="35">
        <v>4607116262481</v>
      </c>
    </row>
    <row r="2368" spans="1:14" ht="24" customHeight="1" outlineLevel="3" x14ac:dyDescent="0.2">
      <c r="A2368" s="45">
        <v>13523</v>
      </c>
      <c r="B2368" s="37" t="str">
        <f>HYPERLINK("http://www.sedek.ru/upload/iblock/187/alissum_nochka_morskoy.jpg","фото")</f>
        <v>фото</v>
      </c>
      <c r="C2368" s="38"/>
      <c r="D2368" s="38"/>
      <c r="E2368" s="39"/>
      <c r="F2368" s="39" t="s">
        <v>2937</v>
      </c>
      <c r="G2368" s="44">
        <v>0.1</v>
      </c>
      <c r="H2368" s="39" t="s">
        <v>101</v>
      </c>
      <c r="I2368" s="39" t="s">
        <v>102</v>
      </c>
      <c r="J2368" s="41">
        <v>5000</v>
      </c>
      <c r="K2368" s="42">
        <v>21.4</v>
      </c>
      <c r="L2368" s="43"/>
      <c r="M2368" s="43">
        <f>L2368*K2368</f>
        <v>0</v>
      </c>
      <c r="N2368" s="35">
        <v>4607116262504</v>
      </c>
    </row>
    <row r="2369" spans="1:14" ht="24" customHeight="1" outlineLevel="3" x14ac:dyDescent="0.2">
      <c r="A2369" s="45">
        <v>14816</v>
      </c>
      <c r="B2369" s="37" t="str">
        <f>HYPERLINK("http://sedek.ru/upload/iblock/28e/alissum_snezhnyy_kover.jpg","фото")</f>
        <v>фото</v>
      </c>
      <c r="C2369" s="38"/>
      <c r="D2369" s="38"/>
      <c r="E2369" s="39"/>
      <c r="F2369" s="39" t="s">
        <v>2938</v>
      </c>
      <c r="G2369" s="44">
        <v>0.1</v>
      </c>
      <c r="H2369" s="39" t="s">
        <v>101</v>
      </c>
      <c r="I2369" s="39" t="s">
        <v>102</v>
      </c>
      <c r="J2369" s="41">
        <v>5000</v>
      </c>
      <c r="K2369" s="42">
        <v>21.4</v>
      </c>
      <c r="L2369" s="43"/>
      <c r="M2369" s="43">
        <f>L2369*K2369</f>
        <v>0</v>
      </c>
      <c r="N2369" s="35">
        <v>4607116262511</v>
      </c>
    </row>
    <row r="2370" spans="1:14" ht="24" customHeight="1" outlineLevel="3" x14ac:dyDescent="0.2">
      <c r="A2370" s="45">
        <v>14047</v>
      </c>
      <c r="B2370" s="37" t="str">
        <f>HYPERLINK("http://sedek.ru/upload/iblock/006/amarant_biskvit_metelchatyy_kremovo_oranzhevyy.jpg","фото")</f>
        <v>фото</v>
      </c>
      <c r="C2370" s="38"/>
      <c r="D2370" s="38"/>
      <c r="E2370" s="39"/>
      <c r="F2370" s="39" t="s">
        <v>2939</v>
      </c>
      <c r="G2370" s="54">
        <v>0.05</v>
      </c>
      <c r="H2370" s="39" t="s">
        <v>101</v>
      </c>
      <c r="I2370" s="39" t="s">
        <v>102</v>
      </c>
      <c r="J2370" s="41">
        <v>4000</v>
      </c>
      <c r="K2370" s="42">
        <v>23.5</v>
      </c>
      <c r="L2370" s="43"/>
      <c r="M2370" s="43">
        <f>L2370*K2370</f>
        <v>0</v>
      </c>
      <c r="N2370" s="35">
        <v>4607149404063</v>
      </c>
    </row>
    <row r="2371" spans="1:14" ht="36" customHeight="1" outlineLevel="3" x14ac:dyDescent="0.2">
      <c r="A2371" s="45">
        <v>14908</v>
      </c>
      <c r="B2371" s="37" t="str">
        <f>HYPERLINK("http://sedek.ru/upload/iblock/86b/amarant_kesha_trekhtsvetnyy.jpg","фото")</f>
        <v>фото</v>
      </c>
      <c r="C2371" s="38"/>
      <c r="D2371" s="38"/>
      <c r="E2371" s="39"/>
      <c r="F2371" s="39" t="s">
        <v>2940</v>
      </c>
      <c r="G2371" s="44">
        <v>0.1</v>
      </c>
      <c r="H2371" s="39" t="s">
        <v>101</v>
      </c>
      <c r="I2371" s="39" t="s">
        <v>102</v>
      </c>
      <c r="J2371" s="41">
        <v>4000</v>
      </c>
      <c r="K2371" s="42">
        <v>24.9</v>
      </c>
      <c r="L2371" s="43"/>
      <c r="M2371" s="43">
        <f>L2371*K2371</f>
        <v>0</v>
      </c>
      <c r="N2371" s="35">
        <v>4690368017572</v>
      </c>
    </row>
    <row r="2372" spans="1:14" ht="36" customHeight="1" outlineLevel="3" x14ac:dyDescent="0.2">
      <c r="A2372" s="45">
        <v>15068</v>
      </c>
      <c r="B2372" s="37" t="str">
        <f>HYPERLINK("http://sedek.ru/upload/iblock/9cb/amarant_molten_fayer_dvutsvetnyy.jpg","фото")</f>
        <v>фото</v>
      </c>
      <c r="C2372" s="38"/>
      <c r="D2372" s="38"/>
      <c r="E2372" s="39"/>
      <c r="F2372" s="39" t="s">
        <v>2941</v>
      </c>
      <c r="G2372" s="54">
        <v>0.25</v>
      </c>
      <c r="H2372" s="39" t="s">
        <v>101</v>
      </c>
      <c r="I2372" s="39" t="s">
        <v>102</v>
      </c>
      <c r="J2372" s="41">
        <v>4000</v>
      </c>
      <c r="K2372" s="42">
        <v>30.86</v>
      </c>
      <c r="L2372" s="43"/>
      <c r="M2372" s="43">
        <f>L2372*K2372</f>
        <v>0</v>
      </c>
      <c r="N2372" s="35">
        <v>4607116262528</v>
      </c>
    </row>
    <row r="2373" spans="1:14" ht="36" customHeight="1" outlineLevel="3" x14ac:dyDescent="0.2">
      <c r="A2373" s="45">
        <v>14873</v>
      </c>
      <c r="B2373" s="37" t="str">
        <f>HYPERLINK("http://sedek.ru/upload/iblock/ade/amarant_polovetskie_plyaski.jpg","фото")</f>
        <v>фото</v>
      </c>
      <c r="C2373" s="38"/>
      <c r="D2373" s="38"/>
      <c r="E2373" s="39"/>
      <c r="F2373" s="39" t="s">
        <v>2942</v>
      </c>
      <c r="G2373" s="44">
        <v>0.1</v>
      </c>
      <c r="H2373" s="39" t="s">
        <v>101</v>
      </c>
      <c r="I2373" s="39" t="s">
        <v>102</v>
      </c>
      <c r="J2373" s="41">
        <v>4000</v>
      </c>
      <c r="K2373" s="42">
        <v>24.1</v>
      </c>
      <c r="L2373" s="43"/>
      <c r="M2373" s="43">
        <f>L2373*K2373</f>
        <v>0</v>
      </c>
      <c r="N2373" s="35">
        <v>4607116262535</v>
      </c>
    </row>
    <row r="2374" spans="1:14" ht="36" customHeight="1" outlineLevel="3" x14ac:dyDescent="0.2">
      <c r="A2374" s="45">
        <v>15897</v>
      </c>
      <c r="B2374" s="37" t="str">
        <f>HYPERLINK("http://sedek.ru/upload/iblock/75c/amarant_khvostatyy_tanets_ognya.jpg","фото")</f>
        <v>фото</v>
      </c>
      <c r="C2374" s="38"/>
      <c r="D2374" s="38"/>
      <c r="E2374" s="39"/>
      <c r="F2374" s="39" t="s">
        <v>2943</v>
      </c>
      <c r="G2374" s="44">
        <v>0.1</v>
      </c>
      <c r="H2374" s="39" t="s">
        <v>101</v>
      </c>
      <c r="I2374" s="39" t="s">
        <v>102</v>
      </c>
      <c r="J2374" s="41">
        <v>4000</v>
      </c>
      <c r="K2374" s="42">
        <v>21.4</v>
      </c>
      <c r="L2374" s="43"/>
      <c r="M2374" s="43">
        <f>L2374*K2374</f>
        <v>0</v>
      </c>
      <c r="N2374" s="35">
        <v>4607116262542</v>
      </c>
    </row>
    <row r="2375" spans="1:14" ht="24" customHeight="1" outlineLevel="3" x14ac:dyDescent="0.2">
      <c r="A2375" s="45">
        <v>14443</v>
      </c>
      <c r="B2375" s="37" t="str">
        <f>HYPERLINK("http://sedek.ru/upload/iblock/cca/ammi_vulkan.jpg","фото")</f>
        <v>фото</v>
      </c>
      <c r="C2375" s="38"/>
      <c r="D2375" s="38"/>
      <c r="E2375" s="39"/>
      <c r="F2375" s="39" t="s">
        <v>2944</v>
      </c>
      <c r="G2375" s="44">
        <v>0.1</v>
      </c>
      <c r="H2375" s="39" t="s">
        <v>101</v>
      </c>
      <c r="I2375" s="39" t="s">
        <v>102</v>
      </c>
      <c r="J2375" s="41">
        <v>3000</v>
      </c>
      <c r="K2375" s="42">
        <v>21.4</v>
      </c>
      <c r="L2375" s="43"/>
      <c r="M2375" s="43">
        <f>L2375*K2375</f>
        <v>0</v>
      </c>
      <c r="N2375" s="35">
        <v>4607116262559</v>
      </c>
    </row>
    <row r="2376" spans="1:14" ht="24" customHeight="1" outlineLevel="3" x14ac:dyDescent="0.2">
      <c r="A2376" s="45">
        <v>16584</v>
      </c>
      <c r="B2376" s="37" t="str">
        <f>HYPERLINK("http://sedek.ru/upload/iblock/645/ammobium_zvezdopad_krylatyy.jpg","фото")</f>
        <v>фото</v>
      </c>
      <c r="C2376" s="38"/>
      <c r="D2376" s="38"/>
      <c r="E2376" s="39"/>
      <c r="F2376" s="39" t="s">
        <v>2945</v>
      </c>
      <c r="G2376" s="44">
        <v>0.2</v>
      </c>
      <c r="H2376" s="39" t="s">
        <v>101</v>
      </c>
      <c r="I2376" s="39" t="s">
        <v>102</v>
      </c>
      <c r="J2376" s="41">
        <v>4000</v>
      </c>
      <c r="K2376" s="42">
        <v>21.4</v>
      </c>
      <c r="L2376" s="43"/>
      <c r="M2376" s="43">
        <f>L2376*K2376</f>
        <v>0</v>
      </c>
      <c r="N2376" s="35">
        <v>4607116262566</v>
      </c>
    </row>
    <row r="2377" spans="1:14" ht="24" customHeight="1" outlineLevel="3" x14ac:dyDescent="0.2">
      <c r="A2377" s="45">
        <v>15711</v>
      </c>
      <c r="B2377" s="37" t="str">
        <f>HYPERLINK("http://sedek.ru/upload/iblock/d8e/antemis_solnechnaya_polyana.jpg","фото")</f>
        <v>фото</v>
      </c>
      <c r="C2377" s="38"/>
      <c r="D2377" s="38"/>
      <c r="E2377" s="39"/>
      <c r="F2377" s="39" t="s">
        <v>2946</v>
      </c>
      <c r="G2377" s="44">
        <v>0.2</v>
      </c>
      <c r="H2377" s="39" t="s">
        <v>101</v>
      </c>
      <c r="I2377" s="39" t="s">
        <v>102</v>
      </c>
      <c r="J2377" s="41">
        <v>3000</v>
      </c>
      <c r="K2377" s="42">
        <v>22.6</v>
      </c>
      <c r="L2377" s="43"/>
      <c r="M2377" s="43">
        <f>L2377*K2377</f>
        <v>0</v>
      </c>
      <c r="N2377" s="35">
        <v>4607116262580</v>
      </c>
    </row>
    <row r="2378" spans="1:14" ht="24" customHeight="1" outlineLevel="3" x14ac:dyDescent="0.2">
      <c r="A2378" s="45">
        <v>14069</v>
      </c>
      <c r="B2378" s="37" t="str">
        <f>HYPERLINK("http://sedek.ru/upload/iblock/17b/arabis_vstrecha_alpiyskiy.jpg","фото")</f>
        <v>фото</v>
      </c>
      <c r="C2378" s="38"/>
      <c r="D2378" s="38"/>
      <c r="E2378" s="39"/>
      <c r="F2378" s="39" t="s">
        <v>2947</v>
      </c>
      <c r="G2378" s="44">
        <v>0.1</v>
      </c>
      <c r="H2378" s="39" t="s">
        <v>101</v>
      </c>
      <c r="I2378" s="39" t="s">
        <v>102</v>
      </c>
      <c r="J2378" s="41">
        <v>4000</v>
      </c>
      <c r="K2378" s="42">
        <v>31</v>
      </c>
      <c r="L2378" s="43"/>
      <c r="M2378" s="43">
        <f>L2378*K2378</f>
        <v>0</v>
      </c>
      <c r="N2378" s="35">
        <v>4607116262603</v>
      </c>
    </row>
    <row r="2379" spans="1:14" ht="24" customHeight="1" outlineLevel="3" x14ac:dyDescent="0.2">
      <c r="A2379" s="45">
        <v>14192</v>
      </c>
      <c r="B2379" s="37" t="str">
        <f>HYPERLINK("http://sedek.ru/upload/iblock/393/arabis_laplandiya_alpiyskiy.jpg","фото")</f>
        <v>фото</v>
      </c>
      <c r="C2379" s="38"/>
      <c r="D2379" s="38"/>
      <c r="E2379" s="39"/>
      <c r="F2379" s="39" t="s">
        <v>2948</v>
      </c>
      <c r="G2379" s="44">
        <v>0.1</v>
      </c>
      <c r="H2379" s="39" t="s">
        <v>101</v>
      </c>
      <c r="I2379" s="39" t="s">
        <v>102</v>
      </c>
      <c r="J2379" s="41">
        <v>4000</v>
      </c>
      <c r="K2379" s="42">
        <v>21.4</v>
      </c>
      <c r="L2379" s="43"/>
      <c r="M2379" s="43">
        <f>L2379*K2379</f>
        <v>0</v>
      </c>
      <c r="N2379" s="35">
        <v>4607116262610</v>
      </c>
    </row>
    <row r="2380" spans="1:14" ht="24" customHeight="1" outlineLevel="3" x14ac:dyDescent="0.2">
      <c r="A2380" s="45">
        <v>15762</v>
      </c>
      <c r="B2380" s="37" t="str">
        <f>HYPERLINK("http://sedek.ru/upload/iblock/e28/armeriya_elegiya_primorskaya.jpg","фото")</f>
        <v>фото</v>
      </c>
      <c r="C2380" s="38"/>
      <c r="D2380" s="38"/>
      <c r="E2380" s="39"/>
      <c r="F2380" s="39" t="s">
        <v>2949</v>
      </c>
      <c r="G2380" s="44">
        <v>0.1</v>
      </c>
      <c r="H2380" s="39" t="s">
        <v>101</v>
      </c>
      <c r="I2380" s="39" t="s">
        <v>102</v>
      </c>
      <c r="J2380" s="41">
        <v>3500</v>
      </c>
      <c r="K2380" s="42">
        <v>72.7</v>
      </c>
      <c r="L2380" s="43"/>
      <c r="M2380" s="43">
        <f>L2380*K2380</f>
        <v>0</v>
      </c>
      <c r="N2380" s="35">
        <v>4607116262627</v>
      </c>
    </row>
    <row r="2381" spans="1:14" ht="24" customHeight="1" outlineLevel="3" x14ac:dyDescent="0.2">
      <c r="A2381" s="45">
        <v>14364</v>
      </c>
      <c r="B2381" s="37" t="str">
        <f>HYPERLINK("http://www.sedek.ru/upload/iblock/f44/asparagus_abu_dabi.jpg","фото")</f>
        <v>фото</v>
      </c>
      <c r="C2381" s="38"/>
      <c r="D2381" s="38"/>
      <c r="E2381" s="39"/>
      <c r="F2381" s="39" t="s">
        <v>2950</v>
      </c>
      <c r="G2381" s="44">
        <v>0.1</v>
      </c>
      <c r="H2381" s="39"/>
      <c r="I2381" s="39" t="s">
        <v>102</v>
      </c>
      <c r="J2381" s="41">
        <v>2500</v>
      </c>
      <c r="K2381" s="42">
        <v>71.2</v>
      </c>
      <c r="L2381" s="43"/>
      <c r="M2381" s="43">
        <f>L2381*K2381</f>
        <v>0</v>
      </c>
      <c r="N2381" s="35">
        <v>4607149403844</v>
      </c>
    </row>
    <row r="2382" spans="1:14" ht="24" customHeight="1" outlineLevel="3" x14ac:dyDescent="0.2">
      <c r="A2382" s="45">
        <v>16121</v>
      </c>
      <c r="B2382" s="37" t="str">
        <f>HYPERLINK("http://www.sedek.ru/upload/iblock/d21/astra_ave_mariya_madelin.jpg","фото")</f>
        <v>фото</v>
      </c>
      <c r="C2382" s="38"/>
      <c r="D2382" s="38"/>
      <c r="E2382" s="39"/>
      <c r="F2382" s="39" t="s">
        <v>2951</v>
      </c>
      <c r="G2382" s="44">
        <v>0.2</v>
      </c>
      <c r="H2382" s="39" t="s">
        <v>101</v>
      </c>
      <c r="I2382" s="39" t="s">
        <v>102</v>
      </c>
      <c r="J2382" s="41">
        <v>3000</v>
      </c>
      <c r="K2382" s="42">
        <v>21.4</v>
      </c>
      <c r="L2382" s="43"/>
      <c r="M2382" s="43">
        <f>L2382*K2382</f>
        <v>0</v>
      </c>
      <c r="N2382" s="35">
        <v>4607116268780</v>
      </c>
    </row>
    <row r="2383" spans="1:14" ht="24" customHeight="1" outlineLevel="3" x14ac:dyDescent="0.2">
      <c r="A2383" s="45">
        <v>16460</v>
      </c>
      <c r="B2383" s="37" t="str">
        <f>HYPERLINK("http://sedek.ru/upload/iblock/141/astra_avstriyskoe_pero.jpg","фото")</f>
        <v>фото</v>
      </c>
      <c r="C2383" s="38"/>
      <c r="D2383" s="38"/>
      <c r="E2383" s="39"/>
      <c r="F2383" s="39" t="s">
        <v>2952</v>
      </c>
      <c r="G2383" s="54">
        <v>0.25</v>
      </c>
      <c r="H2383" s="39" t="s">
        <v>101</v>
      </c>
      <c r="I2383" s="39" t="s">
        <v>102</v>
      </c>
      <c r="J2383" s="41">
        <v>3000</v>
      </c>
      <c r="K2383" s="42">
        <v>24.9</v>
      </c>
      <c r="L2383" s="43"/>
      <c r="M2383" s="43">
        <f>L2383*K2383</f>
        <v>0</v>
      </c>
      <c r="N2383" s="35">
        <v>4690368010207</v>
      </c>
    </row>
    <row r="2384" spans="1:14" ht="24" customHeight="1" outlineLevel="3" x14ac:dyDescent="0.2">
      <c r="A2384" s="45">
        <v>16482</v>
      </c>
      <c r="B2384" s="37" t="str">
        <f>HYPERLINK("http://www.sedek.ru/upload/iblock/5e7/astra_alyenka.jpg","фото")</f>
        <v>фото</v>
      </c>
      <c r="C2384" s="38"/>
      <c r="D2384" s="38"/>
      <c r="E2384" s="39"/>
      <c r="F2384" s="39" t="s">
        <v>2953</v>
      </c>
      <c r="G2384" s="44">
        <v>0.2</v>
      </c>
      <c r="H2384" s="39" t="s">
        <v>101</v>
      </c>
      <c r="I2384" s="39" t="s">
        <v>102</v>
      </c>
      <c r="J2384" s="41">
        <v>3000</v>
      </c>
      <c r="K2384" s="42">
        <v>25.1</v>
      </c>
      <c r="L2384" s="43"/>
      <c r="M2384" s="43">
        <f>L2384*K2384</f>
        <v>0</v>
      </c>
      <c r="N2384" s="35">
        <v>4607116268223</v>
      </c>
    </row>
    <row r="2385" spans="1:14" ht="24" customHeight="1" outlineLevel="3" x14ac:dyDescent="0.2">
      <c r="A2385" s="45">
        <v>15968</v>
      </c>
      <c r="B2385" s="37" t="str">
        <f>HYPERLINK("http://sedek.ru/upload/iblock/6a7/astra_angelina.jpg","фото")</f>
        <v>фото</v>
      </c>
      <c r="C2385" s="38"/>
      <c r="D2385" s="38"/>
      <c r="E2385" s="39"/>
      <c r="F2385" s="39" t="s">
        <v>2954</v>
      </c>
      <c r="G2385" s="44">
        <v>0.1</v>
      </c>
      <c r="H2385" s="39" t="s">
        <v>101</v>
      </c>
      <c r="I2385" s="39" t="s">
        <v>102</v>
      </c>
      <c r="J2385" s="41">
        <v>3000</v>
      </c>
      <c r="K2385" s="42">
        <v>22.1</v>
      </c>
      <c r="L2385" s="43"/>
      <c r="M2385" s="43">
        <f>L2385*K2385</f>
        <v>0</v>
      </c>
      <c r="N2385" s="35">
        <v>4607116262641</v>
      </c>
    </row>
    <row r="2386" spans="1:14" ht="24" customHeight="1" outlineLevel="3" x14ac:dyDescent="0.2">
      <c r="A2386" s="45">
        <v>14076</v>
      </c>
      <c r="B2386" s="37" t="str">
        <f>HYPERLINK("http://sedek.ru/upload/iblock/a46/astra_andrella.jpg","фото")</f>
        <v>фото</v>
      </c>
      <c r="C2386" s="38"/>
      <c r="D2386" s="38"/>
      <c r="E2386" s="39"/>
      <c r="F2386" s="39" t="s">
        <v>2955</v>
      </c>
      <c r="G2386" s="44">
        <v>0.2</v>
      </c>
      <c r="H2386" s="39" t="s">
        <v>101</v>
      </c>
      <c r="I2386" s="39" t="s">
        <v>102</v>
      </c>
      <c r="J2386" s="41">
        <v>3000</v>
      </c>
      <c r="K2386" s="42">
        <v>21.4</v>
      </c>
      <c r="L2386" s="43"/>
      <c r="M2386" s="43">
        <f>L2386*K2386</f>
        <v>0</v>
      </c>
      <c r="N2386" s="35">
        <v>4607116262658</v>
      </c>
    </row>
    <row r="2387" spans="1:14" ht="24" customHeight="1" outlineLevel="3" x14ac:dyDescent="0.2">
      <c r="A2387" s="45">
        <v>13893</v>
      </c>
      <c r="B2387" s="37" t="str">
        <f>HYPERLINK("http://sedek.ru/upload/iblock/12f/astra_anita.jpg","фото")</f>
        <v>фото</v>
      </c>
      <c r="C2387" s="38"/>
      <c r="D2387" s="38"/>
      <c r="E2387" s="39"/>
      <c r="F2387" s="39" t="s">
        <v>2956</v>
      </c>
      <c r="G2387" s="44">
        <v>0.2</v>
      </c>
      <c r="H2387" s="39" t="s">
        <v>101</v>
      </c>
      <c r="I2387" s="39" t="s">
        <v>102</v>
      </c>
      <c r="J2387" s="41">
        <v>3000</v>
      </c>
      <c r="K2387" s="42">
        <v>21.4</v>
      </c>
      <c r="L2387" s="43"/>
      <c r="M2387" s="43">
        <f>L2387*K2387</f>
        <v>0</v>
      </c>
      <c r="N2387" s="35">
        <v>4607116268162</v>
      </c>
    </row>
    <row r="2388" spans="1:14" ht="24" customHeight="1" outlineLevel="3" x14ac:dyDescent="0.2">
      <c r="A2388" s="45">
        <v>14039</v>
      </c>
      <c r="B2388" s="37" t="str">
        <f>HYPERLINK("http://sedek.ru/upload/iblock/9d6/astra_anna.jpg","фото")</f>
        <v>фото</v>
      </c>
      <c r="C2388" s="38"/>
      <c r="D2388" s="38"/>
      <c r="E2388" s="39"/>
      <c r="F2388" s="39" t="s">
        <v>2957</v>
      </c>
      <c r="G2388" s="44">
        <v>0.2</v>
      </c>
      <c r="H2388" s="39" t="s">
        <v>101</v>
      </c>
      <c r="I2388" s="39" t="s">
        <v>102</v>
      </c>
      <c r="J2388" s="41">
        <v>3000</v>
      </c>
      <c r="K2388" s="42">
        <v>21.4</v>
      </c>
      <c r="L2388" s="43"/>
      <c r="M2388" s="43">
        <f>L2388*K2388</f>
        <v>0</v>
      </c>
      <c r="N2388" s="35">
        <v>4690368010214</v>
      </c>
    </row>
    <row r="2389" spans="1:14" ht="24" customHeight="1" outlineLevel="3" x14ac:dyDescent="0.2">
      <c r="A2389" s="46">
        <v>14198</v>
      </c>
      <c r="B2389" s="47" t="str">
        <f>HYPERLINK("http://sedek.ru/upload/iblock/d11/astra_antarktida.jpg","фото")</f>
        <v>фото</v>
      </c>
      <c r="C2389" s="48"/>
      <c r="D2389" s="48"/>
      <c r="E2389" s="49"/>
      <c r="F2389" s="49" t="s">
        <v>2958</v>
      </c>
      <c r="G2389" s="56">
        <v>0.2</v>
      </c>
      <c r="H2389" s="49" t="s">
        <v>101</v>
      </c>
      <c r="I2389" s="49" t="s">
        <v>102</v>
      </c>
      <c r="J2389" s="51">
        <v>3000</v>
      </c>
      <c r="K2389" s="52">
        <v>20.3</v>
      </c>
      <c r="L2389" s="53"/>
      <c r="M2389" s="53">
        <f>L2389*K2389</f>
        <v>0</v>
      </c>
      <c r="N2389" s="35">
        <v>4607116262665</v>
      </c>
    </row>
    <row r="2390" spans="1:14" ht="24" customHeight="1" outlineLevel="3" x14ac:dyDescent="0.2">
      <c r="A2390" s="45">
        <v>14203</v>
      </c>
      <c r="B2390" s="37" t="str">
        <f>HYPERLINK("http://sedek.ru/upload/iblock/b26/astra_afina.jpg","фото")</f>
        <v>фото</v>
      </c>
      <c r="C2390" s="38"/>
      <c r="D2390" s="38"/>
      <c r="E2390" s="39"/>
      <c r="F2390" s="39" t="s">
        <v>2959</v>
      </c>
      <c r="G2390" s="44">
        <v>0.2</v>
      </c>
      <c r="H2390" s="39" t="s">
        <v>101</v>
      </c>
      <c r="I2390" s="39" t="s">
        <v>102</v>
      </c>
      <c r="J2390" s="41">
        <v>3000</v>
      </c>
      <c r="K2390" s="42">
        <v>21.4</v>
      </c>
      <c r="L2390" s="43"/>
      <c r="M2390" s="43">
        <f>L2390*K2390</f>
        <v>0</v>
      </c>
      <c r="N2390" s="35">
        <v>4607116268520</v>
      </c>
    </row>
    <row r="2391" spans="1:14" ht="24" customHeight="1" outlineLevel="3" x14ac:dyDescent="0.2">
      <c r="A2391" s="45">
        <v>15522</v>
      </c>
      <c r="B2391" s="37" t="str">
        <f>HYPERLINK("http://sedek.ru/upload/iblock/93a/astra_bagira.jpg","фото")</f>
        <v>фото</v>
      </c>
      <c r="C2391" s="38"/>
      <c r="D2391" s="38"/>
      <c r="E2391" s="39"/>
      <c r="F2391" s="39" t="s">
        <v>2960</v>
      </c>
      <c r="G2391" s="44">
        <v>0.2</v>
      </c>
      <c r="H2391" s="39" t="s">
        <v>101</v>
      </c>
      <c r="I2391" s="39" t="s">
        <v>102</v>
      </c>
      <c r="J2391" s="41">
        <v>3000</v>
      </c>
      <c r="K2391" s="42">
        <v>21.4</v>
      </c>
      <c r="L2391" s="43"/>
      <c r="M2391" s="43">
        <f>L2391*K2391</f>
        <v>0</v>
      </c>
      <c r="N2391" s="35">
        <v>4607116269527</v>
      </c>
    </row>
    <row r="2392" spans="1:14" ht="24" customHeight="1" outlineLevel="3" x14ac:dyDescent="0.2">
      <c r="A2392" s="45">
        <v>15942</v>
      </c>
      <c r="B2392" s="37" t="str">
        <f>HYPERLINK("http://sedek.ru/upload/iblock/207/astra_ballada.jpg","фото")</f>
        <v>фото</v>
      </c>
      <c r="C2392" s="38"/>
      <c r="D2392" s="38"/>
      <c r="E2392" s="39"/>
      <c r="F2392" s="39" t="s">
        <v>2961</v>
      </c>
      <c r="G2392" s="44">
        <v>0.2</v>
      </c>
      <c r="H2392" s="39" t="s">
        <v>101</v>
      </c>
      <c r="I2392" s="39" t="s">
        <v>102</v>
      </c>
      <c r="J2392" s="41">
        <v>3000</v>
      </c>
      <c r="K2392" s="42">
        <v>21.4</v>
      </c>
      <c r="L2392" s="43"/>
      <c r="M2392" s="43">
        <f>L2392*K2392</f>
        <v>0</v>
      </c>
      <c r="N2392" s="35">
        <v>4607116268360</v>
      </c>
    </row>
    <row r="2393" spans="1:14" ht="24" customHeight="1" outlineLevel="3" x14ac:dyDescent="0.2">
      <c r="A2393" s="46">
        <v>17100</v>
      </c>
      <c r="B2393" s="47" t="str">
        <f>HYPERLINK("http://sedek.ru/upload/iblock/1e4/astra_barni.jpg","фото")</f>
        <v>фото</v>
      </c>
      <c r="C2393" s="48"/>
      <c r="D2393" s="48"/>
      <c r="E2393" s="49"/>
      <c r="F2393" s="49" t="s">
        <v>2962</v>
      </c>
      <c r="G2393" s="56">
        <v>0.2</v>
      </c>
      <c r="H2393" s="49" t="s">
        <v>101</v>
      </c>
      <c r="I2393" s="49" t="s">
        <v>102</v>
      </c>
      <c r="J2393" s="51">
        <v>3000</v>
      </c>
      <c r="K2393" s="52">
        <v>23.7</v>
      </c>
      <c r="L2393" s="53"/>
      <c r="M2393" s="53">
        <f>L2393*K2393</f>
        <v>0</v>
      </c>
      <c r="N2393" s="35">
        <v>4690368022910</v>
      </c>
    </row>
    <row r="2394" spans="1:14" ht="24" customHeight="1" outlineLevel="3" x14ac:dyDescent="0.2">
      <c r="A2394" s="45">
        <v>14624</v>
      </c>
      <c r="B2394" s="37" t="str">
        <f>HYPERLINK("http://sedek.ru/upload/iblock/b44/astra_beloe_solntse.jpg","фото")</f>
        <v>фото</v>
      </c>
      <c r="C2394" s="38"/>
      <c r="D2394" s="38"/>
      <c r="E2394" s="39"/>
      <c r="F2394" s="39" t="s">
        <v>2963</v>
      </c>
      <c r="G2394" s="44">
        <v>0.2</v>
      </c>
      <c r="H2394" s="39" t="s">
        <v>101</v>
      </c>
      <c r="I2394" s="39" t="s">
        <v>102</v>
      </c>
      <c r="J2394" s="41">
        <v>3000</v>
      </c>
      <c r="K2394" s="42">
        <v>21.4</v>
      </c>
      <c r="L2394" s="43"/>
      <c r="M2394" s="43">
        <f>L2394*K2394</f>
        <v>0</v>
      </c>
      <c r="N2394" s="35">
        <v>4607116262702</v>
      </c>
    </row>
    <row r="2395" spans="1:14" ht="24" customHeight="1" outlineLevel="3" x14ac:dyDescent="0.2">
      <c r="A2395" s="45">
        <v>14121</v>
      </c>
      <c r="B2395" s="37" t="str">
        <f>HYPERLINK("http://sedek.ru/upload/iblock/d4f/astra_biryusinka.jpg","фото")</f>
        <v>фото</v>
      </c>
      <c r="C2395" s="38"/>
      <c r="D2395" s="38"/>
      <c r="E2395" s="39"/>
      <c r="F2395" s="39" t="s">
        <v>2964</v>
      </c>
      <c r="G2395" s="44">
        <v>0.2</v>
      </c>
      <c r="H2395" s="39" t="s">
        <v>101</v>
      </c>
      <c r="I2395" s="39" t="s">
        <v>102</v>
      </c>
      <c r="J2395" s="41">
        <v>3000</v>
      </c>
      <c r="K2395" s="42">
        <v>21.4</v>
      </c>
      <c r="L2395" s="43"/>
      <c r="M2395" s="43">
        <f>L2395*K2395</f>
        <v>0</v>
      </c>
      <c r="N2395" s="35">
        <v>4607116268377</v>
      </c>
    </row>
    <row r="2396" spans="1:14" ht="24" customHeight="1" outlineLevel="3" x14ac:dyDescent="0.2">
      <c r="A2396" s="45">
        <v>14336</v>
      </c>
      <c r="B2396" s="37" t="str">
        <f>HYPERLINK("http://www.sedek.ru/upload/iblock/c8b/astra_boretta.jpg","фото")</f>
        <v>фото</v>
      </c>
      <c r="C2396" s="38"/>
      <c r="D2396" s="38"/>
      <c r="E2396" s="39"/>
      <c r="F2396" s="39" t="s">
        <v>2965</v>
      </c>
      <c r="G2396" s="44">
        <v>0.2</v>
      </c>
      <c r="H2396" s="39" t="s">
        <v>101</v>
      </c>
      <c r="I2396" s="39" t="s">
        <v>102</v>
      </c>
      <c r="J2396" s="41">
        <v>3000</v>
      </c>
      <c r="K2396" s="42">
        <v>24.9</v>
      </c>
      <c r="L2396" s="43"/>
      <c r="M2396" s="43">
        <f>L2396*K2396</f>
        <v>0</v>
      </c>
      <c r="N2396" s="35">
        <v>4607116268384</v>
      </c>
    </row>
    <row r="2397" spans="1:14" ht="24" customHeight="1" outlineLevel="3" x14ac:dyDescent="0.2">
      <c r="A2397" s="45">
        <v>14631</v>
      </c>
      <c r="B2397" s="37" t="str">
        <f>HYPERLINK("http://sedek.ru/upload/iblock/f06/astra_buket.jpg","фото")</f>
        <v>фото</v>
      </c>
      <c r="C2397" s="38"/>
      <c r="D2397" s="38"/>
      <c r="E2397" s="39"/>
      <c r="F2397" s="39" t="s">
        <v>2966</v>
      </c>
      <c r="G2397" s="44">
        <v>0.2</v>
      </c>
      <c r="H2397" s="39" t="s">
        <v>101</v>
      </c>
      <c r="I2397" s="39" t="s">
        <v>102</v>
      </c>
      <c r="J2397" s="41">
        <v>3000</v>
      </c>
      <c r="K2397" s="42">
        <v>21.4</v>
      </c>
      <c r="L2397" s="43"/>
      <c r="M2397" s="43">
        <f>L2397*K2397</f>
        <v>0</v>
      </c>
      <c r="N2397" s="35">
        <v>4607116262726</v>
      </c>
    </row>
    <row r="2398" spans="1:14" ht="24" customHeight="1" outlineLevel="3" x14ac:dyDescent="0.2">
      <c r="A2398" s="45">
        <v>16498</v>
      </c>
      <c r="B2398" s="37" t="str">
        <f>HYPERLINK("http://sedek.ru/upload/iblock/6bf/astra_vayoletter_krasnaya.jpg","фото")</f>
        <v>фото</v>
      </c>
      <c r="C2398" s="38"/>
      <c r="D2398" s="38"/>
      <c r="E2398" s="39"/>
      <c r="F2398" s="39" t="s">
        <v>2967</v>
      </c>
      <c r="G2398" s="44">
        <v>0.1</v>
      </c>
      <c r="H2398" s="39" t="s">
        <v>101</v>
      </c>
      <c r="I2398" s="39" t="s">
        <v>102</v>
      </c>
      <c r="J2398" s="41">
        <v>3000</v>
      </c>
      <c r="K2398" s="42">
        <v>25.2</v>
      </c>
      <c r="L2398" s="43"/>
      <c r="M2398" s="43">
        <f>L2398*K2398</f>
        <v>0</v>
      </c>
      <c r="N2398" s="35">
        <v>4607149402021</v>
      </c>
    </row>
    <row r="2399" spans="1:14" ht="24" customHeight="1" outlineLevel="3" x14ac:dyDescent="0.2">
      <c r="A2399" s="45">
        <v>16444</v>
      </c>
      <c r="B2399" s="37" t="str">
        <f>HYPERLINK("http://sedek.ru/upload/iblock/bda/astra_vayoletter_fioletovaya.jpg","фото")</f>
        <v>фото</v>
      </c>
      <c r="C2399" s="38"/>
      <c r="D2399" s="38"/>
      <c r="E2399" s="39"/>
      <c r="F2399" s="39" t="s">
        <v>2968</v>
      </c>
      <c r="G2399" s="44">
        <v>0.2</v>
      </c>
      <c r="H2399" s="39" t="s">
        <v>101</v>
      </c>
      <c r="I2399" s="39" t="s">
        <v>102</v>
      </c>
      <c r="J2399" s="41">
        <v>3000</v>
      </c>
      <c r="K2399" s="42">
        <v>21.4</v>
      </c>
      <c r="L2399" s="43"/>
      <c r="M2399" s="43">
        <f>L2399*K2399</f>
        <v>0</v>
      </c>
      <c r="N2399" s="35">
        <v>4607149402038</v>
      </c>
    </row>
    <row r="2400" spans="1:14" ht="24" customHeight="1" outlineLevel="3" x14ac:dyDescent="0.2">
      <c r="A2400" s="45">
        <v>13951</v>
      </c>
      <c r="B2400" s="37" t="str">
        <f>HYPERLINK("http://sedek.ru/upload/iblock/764/astra_varenka.jpg","фото")</f>
        <v>фото</v>
      </c>
      <c r="C2400" s="38"/>
      <c r="D2400" s="38"/>
      <c r="E2400" s="39"/>
      <c r="F2400" s="39" t="s">
        <v>2969</v>
      </c>
      <c r="G2400" s="44">
        <v>0.2</v>
      </c>
      <c r="H2400" s="39" t="s">
        <v>101</v>
      </c>
      <c r="I2400" s="39" t="s">
        <v>102</v>
      </c>
      <c r="J2400" s="41">
        <v>3000</v>
      </c>
      <c r="K2400" s="42">
        <v>21.4</v>
      </c>
      <c r="L2400" s="43"/>
      <c r="M2400" s="43">
        <f>L2400*K2400</f>
        <v>0</v>
      </c>
      <c r="N2400" s="35">
        <v>4607116268186</v>
      </c>
    </row>
    <row r="2401" spans="1:14" ht="36" customHeight="1" outlineLevel="3" x14ac:dyDescent="0.2">
      <c r="A2401" s="45">
        <v>17094</v>
      </c>
      <c r="B2401" s="37" t="str">
        <f>HYPERLINK("http://sedek.ru/upload/iblock/c7b/astra_varshavyanka.jpg","фото")</f>
        <v>фото</v>
      </c>
      <c r="C2401" s="38"/>
      <c r="D2401" s="38"/>
      <c r="E2401" s="39"/>
      <c r="F2401" s="39" t="s">
        <v>2970</v>
      </c>
      <c r="G2401" s="44">
        <v>0.2</v>
      </c>
      <c r="H2401" s="39" t="s">
        <v>101</v>
      </c>
      <c r="I2401" s="39" t="s">
        <v>102</v>
      </c>
      <c r="J2401" s="41">
        <v>3000</v>
      </c>
      <c r="K2401" s="42">
        <v>21.4</v>
      </c>
      <c r="L2401" s="43"/>
      <c r="M2401" s="43">
        <f>L2401*K2401</f>
        <v>0</v>
      </c>
      <c r="N2401" s="35">
        <v>4690368022507</v>
      </c>
    </row>
    <row r="2402" spans="1:14" ht="24" customHeight="1" outlineLevel="3" x14ac:dyDescent="0.2">
      <c r="A2402" s="45">
        <v>16586</v>
      </c>
      <c r="B2402" s="37" t="str">
        <f>HYPERLINK("http://sedek.ru/upload/iblock/797/astra_vasilisa.jpg","фото")</f>
        <v>фото</v>
      </c>
      <c r="C2402" s="38"/>
      <c r="D2402" s="38"/>
      <c r="E2402" s="39"/>
      <c r="F2402" s="39" t="s">
        <v>2971</v>
      </c>
      <c r="G2402" s="44">
        <v>0.2</v>
      </c>
      <c r="H2402" s="39" t="s">
        <v>101</v>
      </c>
      <c r="I2402" s="39" t="s">
        <v>102</v>
      </c>
      <c r="J2402" s="41">
        <v>3000</v>
      </c>
      <c r="K2402" s="42">
        <v>21.4</v>
      </c>
      <c r="L2402" s="43"/>
      <c r="M2402" s="43">
        <f>L2402*K2402</f>
        <v>0</v>
      </c>
      <c r="N2402" s="35">
        <v>4607116267967</v>
      </c>
    </row>
    <row r="2403" spans="1:14" ht="36" customHeight="1" outlineLevel="3" x14ac:dyDescent="0.2">
      <c r="A2403" s="45">
        <v>14901</v>
      </c>
      <c r="B2403" s="37" t="str">
        <f>HYPERLINK("http://sedek.ru/upload/iblock/5d4/astra_veronika.jpg","фото")</f>
        <v>фото</v>
      </c>
      <c r="C2403" s="38"/>
      <c r="D2403" s="38"/>
      <c r="E2403" s="39"/>
      <c r="F2403" s="39" t="s">
        <v>2972</v>
      </c>
      <c r="G2403" s="44">
        <v>0.2</v>
      </c>
      <c r="H2403" s="39" t="s">
        <v>101</v>
      </c>
      <c r="I2403" s="39" t="s">
        <v>102</v>
      </c>
      <c r="J2403" s="41">
        <v>3000</v>
      </c>
      <c r="K2403" s="42">
        <v>21.4</v>
      </c>
      <c r="L2403" s="43"/>
      <c r="M2403" s="43">
        <f>L2403*K2403</f>
        <v>0</v>
      </c>
      <c r="N2403" s="35">
        <v>4607116268391</v>
      </c>
    </row>
    <row r="2404" spans="1:14" ht="24" customHeight="1" outlineLevel="3" x14ac:dyDescent="0.2">
      <c r="A2404" s="45">
        <v>17087</v>
      </c>
      <c r="B2404" s="37" t="str">
        <f>HYPERLINK("http://sedek.ru/upload/iblock/c2a/astra_verochka.jpg","фото")</f>
        <v>фото</v>
      </c>
      <c r="C2404" s="38"/>
      <c r="D2404" s="38"/>
      <c r="E2404" s="39"/>
      <c r="F2404" s="39" t="s">
        <v>2973</v>
      </c>
      <c r="G2404" s="44">
        <v>0.2</v>
      </c>
      <c r="H2404" s="39" t="s">
        <v>101</v>
      </c>
      <c r="I2404" s="39" t="s">
        <v>102</v>
      </c>
      <c r="J2404" s="41">
        <v>3000</v>
      </c>
      <c r="K2404" s="42">
        <v>21.4</v>
      </c>
      <c r="L2404" s="43"/>
      <c r="M2404" s="43">
        <f>L2404*K2404</f>
        <v>0</v>
      </c>
      <c r="N2404" s="35">
        <v>4690368022514</v>
      </c>
    </row>
    <row r="2405" spans="1:14" ht="24" customHeight="1" outlineLevel="3" x14ac:dyDescent="0.2">
      <c r="A2405" s="45">
        <v>17103</v>
      </c>
      <c r="B2405" s="37" t="str">
        <f>HYPERLINK("http://sedek.ru/upload/iblock/afd/astra_vesnyanka.jpg","фото")</f>
        <v>фото</v>
      </c>
      <c r="C2405" s="38"/>
      <c r="D2405" s="38"/>
      <c r="E2405" s="39"/>
      <c r="F2405" s="39" t="s">
        <v>2974</v>
      </c>
      <c r="G2405" s="44">
        <v>0.2</v>
      </c>
      <c r="H2405" s="39" t="s">
        <v>101</v>
      </c>
      <c r="I2405" s="39" t="s">
        <v>102</v>
      </c>
      <c r="J2405" s="41">
        <v>3000</v>
      </c>
      <c r="K2405" s="42">
        <v>21.4</v>
      </c>
      <c r="L2405" s="43"/>
      <c r="M2405" s="43">
        <f>L2405*K2405</f>
        <v>0</v>
      </c>
      <c r="N2405" s="35">
        <v>4690368022941</v>
      </c>
    </row>
    <row r="2406" spans="1:14" ht="24" customHeight="1" outlineLevel="3" x14ac:dyDescent="0.2">
      <c r="A2406" s="45">
        <v>15398</v>
      </c>
      <c r="B2406" s="37" t="str">
        <f>HYPERLINK("http://sedek.ru/upload/iblock/22f/astra_vecher_gryez.jpg","фото")</f>
        <v>фото</v>
      </c>
      <c r="C2406" s="38"/>
      <c r="D2406" s="38"/>
      <c r="E2406" s="39"/>
      <c r="F2406" s="39" t="s">
        <v>2975</v>
      </c>
      <c r="G2406" s="44">
        <v>0.2</v>
      </c>
      <c r="H2406" s="39" t="s">
        <v>101</v>
      </c>
      <c r="I2406" s="39" t="s">
        <v>102</v>
      </c>
      <c r="J2406" s="41">
        <v>3000</v>
      </c>
      <c r="K2406" s="42">
        <v>22.7</v>
      </c>
      <c r="L2406" s="43"/>
      <c r="M2406" s="43">
        <f>L2406*K2406</f>
        <v>0</v>
      </c>
      <c r="N2406" s="35">
        <v>4607116267646</v>
      </c>
    </row>
    <row r="2407" spans="1:14" ht="24" customHeight="1" outlineLevel="3" x14ac:dyDescent="0.2">
      <c r="A2407" s="45">
        <v>17090</v>
      </c>
      <c r="B2407" s="37" t="str">
        <f>HYPERLINK("http://sedek.ru/upload/iblock/279/astra_vikhr.jpg","фото")</f>
        <v>фото</v>
      </c>
      <c r="C2407" s="38"/>
      <c r="D2407" s="38"/>
      <c r="E2407" s="39"/>
      <c r="F2407" s="39" t="s">
        <v>2976</v>
      </c>
      <c r="G2407" s="44">
        <v>0.2</v>
      </c>
      <c r="H2407" s="39" t="s">
        <v>101</v>
      </c>
      <c r="I2407" s="39" t="s">
        <v>102</v>
      </c>
      <c r="J2407" s="41">
        <v>3000</v>
      </c>
      <c r="K2407" s="42">
        <v>21.4</v>
      </c>
      <c r="L2407" s="43"/>
      <c r="M2407" s="43">
        <f>L2407*K2407</f>
        <v>0</v>
      </c>
      <c r="N2407" s="35">
        <v>4690368022521</v>
      </c>
    </row>
    <row r="2408" spans="1:14" ht="24" customHeight="1" outlineLevel="3" x14ac:dyDescent="0.2">
      <c r="A2408" s="45">
        <v>13475</v>
      </c>
      <c r="B2408" s="37" t="str">
        <f>HYPERLINK("http://sedek.ru/upload/iblock/441/astra_voronezhskaya_golubaya.jpg","фото")</f>
        <v>фото</v>
      </c>
      <c r="C2408" s="38"/>
      <c r="D2408" s="38"/>
      <c r="E2408" s="39"/>
      <c r="F2408" s="39" t="s">
        <v>2977</v>
      </c>
      <c r="G2408" s="44">
        <v>0.2</v>
      </c>
      <c r="H2408" s="39" t="s">
        <v>101</v>
      </c>
      <c r="I2408" s="39" t="s">
        <v>102</v>
      </c>
      <c r="J2408" s="41">
        <v>3000</v>
      </c>
      <c r="K2408" s="42">
        <v>25.2</v>
      </c>
      <c r="L2408" s="43"/>
      <c r="M2408" s="43">
        <f>L2408*K2408</f>
        <v>0</v>
      </c>
      <c r="N2408" s="35">
        <v>4607116262733</v>
      </c>
    </row>
    <row r="2409" spans="1:14" ht="24" customHeight="1" outlineLevel="3" x14ac:dyDescent="0.2">
      <c r="A2409" s="45">
        <v>13536</v>
      </c>
      <c r="B2409" s="37" t="str">
        <f>HYPERLINK("http://sedek.ru/upload/iblock/c5d/astra_vypusknitsa.jpg","фото")</f>
        <v>фото</v>
      </c>
      <c r="C2409" s="38"/>
      <c r="D2409" s="38"/>
      <c r="E2409" s="39"/>
      <c r="F2409" s="39" t="s">
        <v>2978</v>
      </c>
      <c r="G2409" s="44">
        <v>0.2</v>
      </c>
      <c r="H2409" s="39" t="s">
        <v>101</v>
      </c>
      <c r="I2409" s="39" t="s">
        <v>102</v>
      </c>
      <c r="J2409" s="41">
        <v>3000</v>
      </c>
      <c r="K2409" s="42">
        <v>21.4</v>
      </c>
      <c r="L2409" s="43"/>
      <c r="M2409" s="43">
        <f>L2409*K2409</f>
        <v>0</v>
      </c>
      <c r="N2409" s="35">
        <v>4607116267981</v>
      </c>
    </row>
    <row r="2410" spans="1:14" ht="24" customHeight="1" outlineLevel="3" x14ac:dyDescent="0.2">
      <c r="A2410" s="45">
        <v>17079</v>
      </c>
      <c r="B2410" s="37" t="str">
        <f>HYPERLINK("http://sedek.ru/upload/iblock/94a/astra_goliaf.jpg","фото")</f>
        <v>фото</v>
      </c>
      <c r="C2410" s="38"/>
      <c r="D2410" s="38"/>
      <c r="E2410" s="39"/>
      <c r="F2410" s="39" t="s">
        <v>2979</v>
      </c>
      <c r="G2410" s="44">
        <v>0.1</v>
      </c>
      <c r="H2410" s="39" t="s">
        <v>101</v>
      </c>
      <c r="I2410" s="39" t="s">
        <v>102</v>
      </c>
      <c r="J2410" s="41">
        <v>3000</v>
      </c>
      <c r="K2410" s="42">
        <v>34.200000000000003</v>
      </c>
      <c r="L2410" s="43"/>
      <c r="M2410" s="43">
        <f>L2410*K2410</f>
        <v>0</v>
      </c>
      <c r="N2410" s="35">
        <v>4690368022484</v>
      </c>
    </row>
    <row r="2411" spans="1:14" ht="24" customHeight="1" outlineLevel="3" x14ac:dyDescent="0.2">
      <c r="A2411" s="45">
        <v>13994</v>
      </c>
      <c r="B2411" s="37" t="str">
        <f>HYPERLINK("http://www.sedek.ru/upload/iblock/443/astra_golubka.jpg","фото")</f>
        <v>фото</v>
      </c>
      <c r="C2411" s="38"/>
      <c r="D2411" s="38"/>
      <c r="E2411" s="39"/>
      <c r="F2411" s="39" t="s">
        <v>2980</v>
      </c>
      <c r="G2411" s="44">
        <v>0.2</v>
      </c>
      <c r="H2411" s="39" t="s">
        <v>101</v>
      </c>
      <c r="I2411" s="39" t="s">
        <v>102</v>
      </c>
      <c r="J2411" s="41">
        <v>3000</v>
      </c>
      <c r="K2411" s="42">
        <v>21.4</v>
      </c>
      <c r="L2411" s="43"/>
      <c r="M2411" s="43">
        <f>L2411*K2411</f>
        <v>0</v>
      </c>
      <c r="N2411" s="35">
        <v>4607116268407</v>
      </c>
    </row>
    <row r="2412" spans="1:14" ht="24" customHeight="1" outlineLevel="3" x14ac:dyDescent="0.2">
      <c r="A2412" s="45">
        <v>14550</v>
      </c>
      <c r="B2412" s="37" t="str">
        <f>HYPERLINK("http://sedek.ru/upload/iblock/2a6/astra_goldshatts.jpg","фото")</f>
        <v>фото</v>
      </c>
      <c r="C2412" s="38"/>
      <c r="D2412" s="38"/>
      <c r="E2412" s="39"/>
      <c r="F2412" s="39" t="s">
        <v>2981</v>
      </c>
      <c r="G2412" s="44">
        <v>0.2</v>
      </c>
      <c r="H2412" s="39" t="s">
        <v>101</v>
      </c>
      <c r="I2412" s="39" t="s">
        <v>102</v>
      </c>
      <c r="J2412" s="41">
        <v>3000</v>
      </c>
      <c r="K2412" s="42">
        <v>24.9</v>
      </c>
      <c r="L2412" s="43"/>
      <c r="M2412" s="43">
        <f>L2412*K2412</f>
        <v>0</v>
      </c>
      <c r="N2412" s="35">
        <v>4607116262740</v>
      </c>
    </row>
    <row r="2413" spans="1:14" ht="24" customHeight="1" outlineLevel="3" x14ac:dyDescent="0.2">
      <c r="A2413" s="45">
        <v>16331</v>
      </c>
      <c r="B2413" s="37" t="str">
        <f>HYPERLINK("http://www.sedek.ru/upload/iblock/b57/astra_grafinya.jpg","фото")</f>
        <v>фото</v>
      </c>
      <c r="C2413" s="38"/>
      <c r="D2413" s="38"/>
      <c r="E2413" s="39"/>
      <c r="F2413" s="39" t="s">
        <v>2982</v>
      </c>
      <c r="G2413" s="44">
        <v>0.2</v>
      </c>
      <c r="H2413" s="39" t="s">
        <v>101</v>
      </c>
      <c r="I2413" s="39" t="s">
        <v>102</v>
      </c>
      <c r="J2413" s="41">
        <v>3000</v>
      </c>
      <c r="K2413" s="42">
        <v>21.4</v>
      </c>
      <c r="L2413" s="43"/>
      <c r="M2413" s="43">
        <f>L2413*K2413</f>
        <v>0</v>
      </c>
      <c r="N2413" s="35">
        <v>4607116267998</v>
      </c>
    </row>
    <row r="2414" spans="1:14" ht="24" customHeight="1" outlineLevel="3" x14ac:dyDescent="0.2">
      <c r="A2414" s="45">
        <v>14470</v>
      </c>
      <c r="B2414" s="37" t="str">
        <f>HYPERLINK("http://sedek.ru/upload/iblock/9da/astra_greta.jpg","фото")</f>
        <v>фото</v>
      </c>
      <c r="C2414" s="38"/>
      <c r="D2414" s="38"/>
      <c r="E2414" s="39"/>
      <c r="F2414" s="39" t="s">
        <v>2983</v>
      </c>
      <c r="G2414" s="44">
        <v>0.2</v>
      </c>
      <c r="H2414" s="39" t="s">
        <v>101</v>
      </c>
      <c r="I2414" s="39" t="s">
        <v>102</v>
      </c>
      <c r="J2414" s="41">
        <v>3000</v>
      </c>
      <c r="K2414" s="42">
        <v>21.4</v>
      </c>
      <c r="L2414" s="43"/>
      <c r="M2414" s="43">
        <f>L2414*K2414</f>
        <v>0</v>
      </c>
      <c r="N2414" s="35">
        <v>4607116268414</v>
      </c>
    </row>
    <row r="2415" spans="1:14" ht="24" customHeight="1" outlineLevel="3" x14ac:dyDescent="0.2">
      <c r="A2415" s="45">
        <v>15712</v>
      </c>
      <c r="B2415" s="37" t="str">
        <f>HYPERLINK("http://sedek.ru/upload/iblock/067/astra_daryushka.jpg","фото")</f>
        <v>фото</v>
      </c>
      <c r="C2415" s="38"/>
      <c r="D2415" s="38"/>
      <c r="E2415" s="39"/>
      <c r="F2415" s="39" t="s">
        <v>2984</v>
      </c>
      <c r="G2415" s="44">
        <v>0.2</v>
      </c>
      <c r="H2415" s="39" t="s">
        <v>101</v>
      </c>
      <c r="I2415" s="39" t="s">
        <v>102</v>
      </c>
      <c r="J2415" s="41">
        <v>3000</v>
      </c>
      <c r="K2415" s="42">
        <v>21.4</v>
      </c>
      <c r="L2415" s="43"/>
      <c r="M2415" s="43">
        <f>L2415*K2415</f>
        <v>0</v>
      </c>
      <c r="N2415" s="35">
        <v>4607116268230</v>
      </c>
    </row>
    <row r="2416" spans="1:14" ht="24" customHeight="1" outlineLevel="3" x14ac:dyDescent="0.2">
      <c r="A2416" s="45">
        <v>13542</v>
      </c>
      <c r="B2416" s="37" t="str">
        <f>HYPERLINK("http://sedek.ru/upload/iblock/b7d/astra_den_rozhdeniya.jpg","фото")</f>
        <v>фото</v>
      </c>
      <c r="C2416" s="38"/>
      <c r="D2416" s="38"/>
      <c r="E2416" s="39"/>
      <c r="F2416" s="39" t="s">
        <v>2985</v>
      </c>
      <c r="G2416" s="44">
        <v>0.2</v>
      </c>
      <c r="H2416" s="39"/>
      <c r="I2416" s="39" t="s">
        <v>102</v>
      </c>
      <c r="J2416" s="41">
        <v>3000</v>
      </c>
      <c r="K2416" s="42">
        <v>21.4</v>
      </c>
      <c r="L2416" s="43"/>
      <c r="M2416" s="43">
        <f>L2416*K2416</f>
        <v>0</v>
      </c>
      <c r="N2416" s="35">
        <v>4607116268285</v>
      </c>
    </row>
    <row r="2417" spans="1:14" ht="36" customHeight="1" outlineLevel="3" x14ac:dyDescent="0.2">
      <c r="A2417" s="45">
        <v>15081</v>
      </c>
      <c r="B2417" s="37" t="str">
        <f>HYPERLINK("http://sedek.ru/upload/iblock/640/astra_dzhaynt_mom.jpg","фото")</f>
        <v>фото</v>
      </c>
      <c r="C2417" s="38"/>
      <c r="D2417" s="38"/>
      <c r="E2417" s="39"/>
      <c r="F2417" s="39" t="s">
        <v>2986</v>
      </c>
      <c r="G2417" s="44">
        <v>0.2</v>
      </c>
      <c r="H2417" s="39" t="s">
        <v>101</v>
      </c>
      <c r="I2417" s="39" t="s">
        <v>102</v>
      </c>
      <c r="J2417" s="41">
        <v>3000</v>
      </c>
      <c r="K2417" s="42">
        <v>21.4</v>
      </c>
      <c r="L2417" s="43"/>
      <c r="M2417" s="43">
        <f>L2417*K2417</f>
        <v>0</v>
      </c>
      <c r="N2417" s="35">
        <v>4607116262757</v>
      </c>
    </row>
    <row r="2418" spans="1:14" ht="24" customHeight="1" outlineLevel="3" x14ac:dyDescent="0.2">
      <c r="A2418" s="45">
        <v>16048</v>
      </c>
      <c r="B2418" s="37" t="str">
        <f>HYPERLINK("http://sedek.ru/upload/iblock/784/astra_dushechka.jpg","фото")</f>
        <v>фото</v>
      </c>
      <c r="C2418" s="38"/>
      <c r="D2418" s="38"/>
      <c r="E2418" s="39"/>
      <c r="F2418" s="39" t="s">
        <v>2987</v>
      </c>
      <c r="G2418" s="44">
        <v>0.2</v>
      </c>
      <c r="H2418" s="39" t="s">
        <v>101</v>
      </c>
      <c r="I2418" s="39" t="s">
        <v>102</v>
      </c>
      <c r="J2418" s="41">
        <v>3000</v>
      </c>
      <c r="K2418" s="42">
        <v>21.4</v>
      </c>
      <c r="L2418" s="43"/>
      <c r="M2418" s="43">
        <f>L2418*K2418</f>
        <v>0</v>
      </c>
      <c r="N2418" s="35">
        <v>4607116268421</v>
      </c>
    </row>
    <row r="2419" spans="1:14" ht="24" customHeight="1" outlineLevel="3" x14ac:dyDescent="0.2">
      <c r="A2419" s="45">
        <v>14796</v>
      </c>
      <c r="B2419" s="37" t="str">
        <f>HYPERLINK("http://sedek.ru/upload/iblock/0fe/astra_zarya_vostoka.jpg","фото")</f>
        <v>фото</v>
      </c>
      <c r="C2419" s="38"/>
      <c r="D2419" s="38"/>
      <c r="E2419" s="39"/>
      <c r="F2419" s="39" t="s">
        <v>2988</v>
      </c>
      <c r="G2419" s="44">
        <v>0.2</v>
      </c>
      <c r="H2419" s="39" t="s">
        <v>101</v>
      </c>
      <c r="I2419" s="39" t="s">
        <v>102</v>
      </c>
      <c r="J2419" s="41">
        <v>3000</v>
      </c>
      <c r="K2419" s="42">
        <v>22.4</v>
      </c>
      <c r="L2419" s="43"/>
      <c r="M2419" s="43">
        <f>L2419*K2419</f>
        <v>0</v>
      </c>
      <c r="N2419" s="35">
        <v>4607116269879</v>
      </c>
    </row>
    <row r="2420" spans="1:14" ht="24" customHeight="1" outlineLevel="3" x14ac:dyDescent="0.2">
      <c r="A2420" s="45">
        <v>13489</v>
      </c>
      <c r="B2420" s="37" t="str">
        <f>HYPERLINK("http://sedek.ru/upload/iblock/403/astra_zvyezdochka.jpg","фото")</f>
        <v>фото</v>
      </c>
      <c r="C2420" s="38"/>
      <c r="D2420" s="38"/>
      <c r="E2420" s="39"/>
      <c r="F2420" s="39" t="s">
        <v>2989</v>
      </c>
      <c r="G2420" s="44">
        <v>0.2</v>
      </c>
      <c r="H2420" s="39" t="s">
        <v>101</v>
      </c>
      <c r="I2420" s="39" t="s">
        <v>102</v>
      </c>
      <c r="J2420" s="41">
        <v>3000</v>
      </c>
      <c r="K2420" s="42">
        <v>22.1</v>
      </c>
      <c r="L2420" s="43"/>
      <c r="M2420" s="43">
        <f>L2420*K2420</f>
        <v>0</v>
      </c>
      <c r="N2420" s="35">
        <v>4607116262764</v>
      </c>
    </row>
    <row r="2421" spans="1:14" ht="24" customHeight="1" outlineLevel="3" x14ac:dyDescent="0.2">
      <c r="A2421" s="45">
        <v>17096</v>
      </c>
      <c r="B2421" s="37" t="str">
        <f>HYPERLINK("http://sedek.ru/upload/iblock/9c1/astra_zolotye_kupola.jpg","фото")</f>
        <v>фото</v>
      </c>
      <c r="C2421" s="38"/>
      <c r="D2421" s="38"/>
      <c r="E2421" s="39"/>
      <c r="F2421" s="39" t="s">
        <v>2990</v>
      </c>
      <c r="G2421" s="44">
        <v>0.2</v>
      </c>
      <c r="H2421" s="39" t="s">
        <v>101</v>
      </c>
      <c r="I2421" s="39" t="s">
        <v>102</v>
      </c>
      <c r="J2421" s="41">
        <v>3000</v>
      </c>
      <c r="K2421" s="42">
        <v>21.4</v>
      </c>
      <c r="L2421" s="43"/>
      <c r="M2421" s="43">
        <f>L2421*K2421</f>
        <v>0</v>
      </c>
      <c r="N2421" s="35">
        <v>4690368022897</v>
      </c>
    </row>
    <row r="2422" spans="1:14" ht="36" customHeight="1" outlineLevel="3" x14ac:dyDescent="0.2">
      <c r="A2422" s="45">
        <v>16066</v>
      </c>
      <c r="B2422" s="37" t="str">
        <f>HYPERLINK("http://sedek.ru/upload/iblock/5bb/astra_illiriya.jpg","фото")</f>
        <v>фото</v>
      </c>
      <c r="C2422" s="38"/>
      <c r="D2422" s="38"/>
      <c r="E2422" s="39"/>
      <c r="F2422" s="39" t="s">
        <v>2991</v>
      </c>
      <c r="G2422" s="59">
        <v>0.125</v>
      </c>
      <c r="H2422" s="39" t="s">
        <v>101</v>
      </c>
      <c r="I2422" s="39" t="s">
        <v>102</v>
      </c>
      <c r="J2422" s="41">
        <v>3000</v>
      </c>
      <c r="K2422" s="42">
        <v>36.08</v>
      </c>
      <c r="L2422" s="43"/>
      <c r="M2422" s="43">
        <f>L2422*K2422</f>
        <v>0</v>
      </c>
      <c r="N2422" s="35">
        <v>4607116262771</v>
      </c>
    </row>
    <row r="2423" spans="1:14" ht="24" customHeight="1" outlineLevel="3" x14ac:dyDescent="0.2">
      <c r="A2423" s="45">
        <v>16128</v>
      </c>
      <c r="B2423" s="37" t="str">
        <f>HYPERLINK("http://www.sedek.ru/upload/iblock/8be/astra_imeninnitsa.jpg","фото")</f>
        <v>фото</v>
      </c>
      <c r="C2423" s="38"/>
      <c r="D2423" s="38"/>
      <c r="E2423" s="39"/>
      <c r="F2423" s="39" t="s">
        <v>2992</v>
      </c>
      <c r="G2423" s="44">
        <v>0.2</v>
      </c>
      <c r="H2423" s="39" t="s">
        <v>101</v>
      </c>
      <c r="I2423" s="39" t="s">
        <v>102</v>
      </c>
      <c r="J2423" s="41">
        <v>3000</v>
      </c>
      <c r="K2423" s="42">
        <v>21.4</v>
      </c>
      <c r="L2423" s="43"/>
      <c r="M2423" s="43">
        <f>L2423*K2423</f>
        <v>0</v>
      </c>
      <c r="N2423" s="35">
        <v>4607116268001</v>
      </c>
    </row>
    <row r="2424" spans="1:14" ht="24" customHeight="1" outlineLevel="3" x14ac:dyDescent="0.2">
      <c r="A2424" s="45">
        <v>16022</v>
      </c>
      <c r="B2424" s="37" t="str">
        <f>HYPERLINK("http://sedek.ru/upload/iblock/d35/astra_impressiya.jpg","фото")</f>
        <v>фото</v>
      </c>
      <c r="C2424" s="38"/>
      <c r="D2424" s="38"/>
      <c r="E2424" s="39"/>
      <c r="F2424" s="39" t="s">
        <v>2993</v>
      </c>
      <c r="G2424" s="44">
        <v>0.2</v>
      </c>
      <c r="H2424" s="39" t="s">
        <v>101</v>
      </c>
      <c r="I2424" s="39" t="s">
        <v>102</v>
      </c>
      <c r="J2424" s="41">
        <v>3000</v>
      </c>
      <c r="K2424" s="42">
        <v>24.9</v>
      </c>
      <c r="L2424" s="43"/>
      <c r="M2424" s="43">
        <f>L2424*K2424</f>
        <v>0</v>
      </c>
      <c r="N2424" s="35">
        <v>4607116262788</v>
      </c>
    </row>
    <row r="2425" spans="1:14" ht="24" customHeight="1" outlineLevel="3" x14ac:dyDescent="0.2">
      <c r="A2425" s="45">
        <v>15333</v>
      </c>
      <c r="B2425" s="37" t="str">
        <f>HYPERLINK("http://sedek.ru/upload/iblock/bad/astra_inga.jpg","фото")</f>
        <v>фото</v>
      </c>
      <c r="C2425" s="38"/>
      <c r="D2425" s="38"/>
      <c r="E2425" s="39"/>
      <c r="F2425" s="39" t="s">
        <v>2994</v>
      </c>
      <c r="G2425" s="44">
        <v>0.2</v>
      </c>
      <c r="H2425" s="39" t="s">
        <v>101</v>
      </c>
      <c r="I2425" s="39" t="s">
        <v>102</v>
      </c>
      <c r="J2425" s="41">
        <v>3000</v>
      </c>
      <c r="K2425" s="42">
        <v>22.1</v>
      </c>
      <c r="L2425" s="43"/>
      <c r="M2425" s="43">
        <f>L2425*K2425</f>
        <v>0</v>
      </c>
      <c r="N2425" s="35">
        <v>4607116262795</v>
      </c>
    </row>
    <row r="2426" spans="1:14" ht="24" customHeight="1" outlineLevel="3" x14ac:dyDescent="0.2">
      <c r="A2426" s="45">
        <v>17113</v>
      </c>
      <c r="B2426" s="37" t="str">
        <f>HYPERLINK("http://sedek.ru/upload/iblock/3ec/astra_ingrid.jpg","фото")</f>
        <v>фото</v>
      </c>
      <c r="C2426" s="38"/>
      <c r="D2426" s="38"/>
      <c r="E2426" s="39"/>
      <c r="F2426" s="39" t="s">
        <v>2995</v>
      </c>
      <c r="G2426" s="44">
        <v>0.2</v>
      </c>
      <c r="H2426" s="39" t="s">
        <v>101</v>
      </c>
      <c r="I2426" s="39" t="s">
        <v>102</v>
      </c>
      <c r="J2426" s="41">
        <v>3000</v>
      </c>
      <c r="K2426" s="42">
        <v>25.2</v>
      </c>
      <c r="L2426" s="43"/>
      <c r="M2426" s="43">
        <f>L2426*K2426</f>
        <v>0</v>
      </c>
      <c r="N2426" s="35">
        <v>4690368022996</v>
      </c>
    </row>
    <row r="2427" spans="1:14" ht="24" customHeight="1" outlineLevel="3" x14ac:dyDescent="0.2">
      <c r="A2427" s="45">
        <v>17093</v>
      </c>
      <c r="B2427" s="37" t="str">
        <f>HYPERLINK("http://www.sedek.ru/upload/iblock/6e9/astra_iney_pionovidnaya_serebristo_sinyaya.jpg","Фото")</f>
        <v>Фото</v>
      </c>
      <c r="C2427" s="38"/>
      <c r="D2427" s="38"/>
      <c r="E2427" s="39"/>
      <c r="F2427" s="39" t="s">
        <v>2996</v>
      </c>
      <c r="G2427" s="44">
        <v>0.2</v>
      </c>
      <c r="H2427" s="39" t="s">
        <v>101</v>
      </c>
      <c r="I2427" s="39" t="s">
        <v>102</v>
      </c>
      <c r="J2427" s="41">
        <v>3000</v>
      </c>
      <c r="K2427" s="42">
        <v>22.1</v>
      </c>
      <c r="L2427" s="43"/>
      <c r="M2427" s="43">
        <f>L2427*K2427</f>
        <v>0</v>
      </c>
      <c r="N2427" s="35">
        <v>4690368023290</v>
      </c>
    </row>
    <row r="2428" spans="1:14" ht="24" customHeight="1" outlineLevel="3" x14ac:dyDescent="0.2">
      <c r="A2428" s="45">
        <v>15143</v>
      </c>
      <c r="B2428" s="37" t="str">
        <f>HYPERLINK("http://sedek.ru/upload/iblock/c24/astra_irida.jpg","фото")</f>
        <v>фото</v>
      </c>
      <c r="C2428" s="38"/>
      <c r="D2428" s="38"/>
      <c r="E2428" s="39"/>
      <c r="F2428" s="39" t="s">
        <v>2997</v>
      </c>
      <c r="G2428" s="44">
        <v>0.2</v>
      </c>
      <c r="H2428" s="39" t="s">
        <v>101</v>
      </c>
      <c r="I2428" s="39" t="s">
        <v>102</v>
      </c>
      <c r="J2428" s="41">
        <v>3000</v>
      </c>
      <c r="K2428" s="42">
        <v>24.9</v>
      </c>
      <c r="L2428" s="43"/>
      <c r="M2428" s="43">
        <f>L2428*K2428</f>
        <v>0</v>
      </c>
      <c r="N2428" s="35">
        <v>4607116268582</v>
      </c>
    </row>
    <row r="2429" spans="1:14" ht="24" customHeight="1" outlineLevel="3" x14ac:dyDescent="0.2">
      <c r="A2429" s="45">
        <v>15137</v>
      </c>
      <c r="B2429" s="37" t="str">
        <f>HYPERLINK("http://sedek.ru/upload/iblock/54e/astra_irinka.jpg","фото")</f>
        <v>фото</v>
      </c>
      <c r="C2429" s="38"/>
      <c r="D2429" s="38"/>
      <c r="E2429" s="39"/>
      <c r="F2429" s="39" t="s">
        <v>2998</v>
      </c>
      <c r="G2429" s="44">
        <v>0.2</v>
      </c>
      <c r="H2429" s="39" t="s">
        <v>101</v>
      </c>
      <c r="I2429" s="39" t="s">
        <v>102</v>
      </c>
      <c r="J2429" s="41">
        <v>3000</v>
      </c>
      <c r="K2429" s="42">
        <v>21.4</v>
      </c>
      <c r="L2429" s="43"/>
      <c r="M2429" s="43">
        <f>L2429*K2429</f>
        <v>0</v>
      </c>
      <c r="N2429" s="35">
        <v>4607116268599</v>
      </c>
    </row>
    <row r="2430" spans="1:14" ht="24" customHeight="1" outlineLevel="3" x14ac:dyDescent="0.2">
      <c r="A2430" s="45">
        <v>13809</v>
      </c>
      <c r="B2430" s="37" t="str">
        <f>HYPERLINK("http://sedek.ru/upload/iblock/010/astra_iskorka.jpg","фото")</f>
        <v>фото</v>
      </c>
      <c r="C2430" s="38"/>
      <c r="D2430" s="38"/>
      <c r="E2430" s="39"/>
      <c r="F2430" s="39" t="s">
        <v>2999</v>
      </c>
      <c r="G2430" s="44">
        <v>0.2</v>
      </c>
      <c r="H2430" s="39" t="s">
        <v>101</v>
      </c>
      <c r="I2430" s="39" t="s">
        <v>102</v>
      </c>
      <c r="J2430" s="41">
        <v>3000</v>
      </c>
      <c r="K2430" s="42">
        <v>21.4</v>
      </c>
      <c r="L2430" s="43"/>
      <c r="M2430" s="43">
        <f>L2430*K2430</f>
        <v>0</v>
      </c>
      <c r="N2430" s="35">
        <v>4607116262801</v>
      </c>
    </row>
    <row r="2431" spans="1:14" ht="24" customHeight="1" outlineLevel="3" x14ac:dyDescent="0.2">
      <c r="A2431" s="36" t="s">
        <v>3000</v>
      </c>
      <c r="B2431" s="37" t="str">
        <f>HYPERLINK("http://sedek.ru/upload/iblock/7fb/xgf84qbl8hlpn7y05w0peeyi2gkwiaog/astra_kakadu_pionovidnaya_smes.jpg","фото")</f>
        <v>фото</v>
      </c>
      <c r="C2431" s="38"/>
      <c r="D2431" s="38"/>
      <c r="E2431" s="39"/>
      <c r="F2431" s="39" t="s">
        <v>3001</v>
      </c>
      <c r="G2431" s="44">
        <v>0.2</v>
      </c>
      <c r="H2431" s="39"/>
      <c r="I2431" s="39" t="s">
        <v>102</v>
      </c>
      <c r="J2431" s="41">
        <v>3000</v>
      </c>
      <c r="K2431" s="42">
        <v>21.4</v>
      </c>
      <c r="L2431" s="43"/>
      <c r="M2431" s="43">
        <f>L2431*K2431</f>
        <v>0</v>
      </c>
      <c r="N2431" s="35">
        <v>4690368038843</v>
      </c>
    </row>
    <row r="2432" spans="1:14" ht="24" customHeight="1" outlineLevel="3" x14ac:dyDescent="0.2">
      <c r="A2432" s="45">
        <v>17088</v>
      </c>
      <c r="B2432" s="37" t="str">
        <f>HYPERLINK("http://sedek.ru/upload/iblock/5e9/astra_kameo.jpg","фото")</f>
        <v>фото</v>
      </c>
      <c r="C2432" s="38"/>
      <c r="D2432" s="38"/>
      <c r="E2432" s="39"/>
      <c r="F2432" s="39" t="s">
        <v>3002</v>
      </c>
      <c r="G2432" s="44">
        <v>0.2</v>
      </c>
      <c r="H2432" s="39" t="s">
        <v>101</v>
      </c>
      <c r="I2432" s="39" t="s">
        <v>102</v>
      </c>
      <c r="J2432" s="41">
        <v>3000</v>
      </c>
      <c r="K2432" s="42">
        <v>24.9</v>
      </c>
      <c r="L2432" s="43"/>
      <c r="M2432" s="43">
        <f>L2432*K2432</f>
        <v>0</v>
      </c>
      <c r="N2432" s="35">
        <v>4690368022545</v>
      </c>
    </row>
    <row r="2433" spans="1:14" ht="24" customHeight="1" outlineLevel="3" x14ac:dyDescent="0.2">
      <c r="A2433" s="45">
        <v>16228</v>
      </c>
      <c r="B2433" s="37" t="str">
        <f>HYPERLINK("http://sedek.ru/upload/iblock/0bd/astra_kapelmeyster.jpg","фото")</f>
        <v>фото</v>
      </c>
      <c r="C2433" s="38"/>
      <c r="D2433" s="38"/>
      <c r="E2433" s="39"/>
      <c r="F2433" s="39" t="s">
        <v>3003</v>
      </c>
      <c r="G2433" s="44">
        <v>0.2</v>
      </c>
      <c r="H2433" s="39" t="s">
        <v>101</v>
      </c>
      <c r="I2433" s="39" t="s">
        <v>102</v>
      </c>
      <c r="J2433" s="41">
        <v>3000</v>
      </c>
      <c r="K2433" s="42">
        <v>22.6</v>
      </c>
      <c r="L2433" s="43"/>
      <c r="M2433" s="43">
        <f>L2433*K2433</f>
        <v>0</v>
      </c>
      <c r="N2433" s="35">
        <v>4607116268308</v>
      </c>
    </row>
    <row r="2434" spans="1:14" ht="24" customHeight="1" outlineLevel="3" x14ac:dyDescent="0.2">
      <c r="A2434" s="45">
        <v>13527</v>
      </c>
      <c r="B2434" s="37" t="str">
        <f>HYPERLINK("http://sedek.ru/upload/iblock/75a/astra_katenka.jpg","фото")</f>
        <v>фото</v>
      </c>
      <c r="C2434" s="38"/>
      <c r="D2434" s="38"/>
      <c r="E2434" s="39"/>
      <c r="F2434" s="39" t="s">
        <v>3004</v>
      </c>
      <c r="G2434" s="44">
        <v>0.2</v>
      </c>
      <c r="H2434" s="39" t="s">
        <v>101</v>
      </c>
      <c r="I2434" s="39" t="s">
        <v>102</v>
      </c>
      <c r="J2434" s="41">
        <v>3000</v>
      </c>
      <c r="K2434" s="42">
        <v>21.4</v>
      </c>
      <c r="L2434" s="43"/>
      <c r="M2434" s="43">
        <f>L2434*K2434</f>
        <v>0</v>
      </c>
      <c r="N2434" s="35">
        <v>4607116268445</v>
      </c>
    </row>
    <row r="2435" spans="1:14" ht="24" customHeight="1" outlineLevel="3" x14ac:dyDescent="0.2">
      <c r="A2435" s="45">
        <v>14594</v>
      </c>
      <c r="B2435" s="37" t="str">
        <f>HYPERLINK("http://sedek.ru/upload/iblock/dde/astra_kerubino.jpg","фото")</f>
        <v>фото</v>
      </c>
      <c r="C2435" s="38"/>
      <c r="D2435" s="38"/>
      <c r="E2435" s="39"/>
      <c r="F2435" s="39" t="s">
        <v>3005</v>
      </c>
      <c r="G2435" s="44">
        <v>0.2</v>
      </c>
      <c r="H2435" s="39" t="s">
        <v>101</v>
      </c>
      <c r="I2435" s="39" t="s">
        <v>102</v>
      </c>
      <c r="J2435" s="41">
        <v>3000</v>
      </c>
      <c r="K2435" s="42">
        <v>21.4</v>
      </c>
      <c r="L2435" s="43"/>
      <c r="M2435" s="43">
        <f>L2435*K2435</f>
        <v>0</v>
      </c>
      <c r="N2435" s="35">
        <v>4607149401055</v>
      </c>
    </row>
    <row r="2436" spans="1:14" ht="24" customHeight="1" outlineLevel="3" x14ac:dyDescent="0.2">
      <c r="A2436" s="45">
        <v>17115</v>
      </c>
      <c r="B2436" s="37" t="str">
        <f>HYPERLINK("http://sedek.ru/upload/iblock/876/astra_klaudia.jpg","фото")</f>
        <v>фото</v>
      </c>
      <c r="C2436" s="38"/>
      <c r="D2436" s="38"/>
      <c r="E2436" s="39"/>
      <c r="F2436" s="39" t="s">
        <v>3006</v>
      </c>
      <c r="G2436" s="44">
        <v>0.2</v>
      </c>
      <c r="H2436" s="39" t="s">
        <v>101</v>
      </c>
      <c r="I2436" s="39" t="s">
        <v>102</v>
      </c>
      <c r="J2436" s="41">
        <v>3000</v>
      </c>
      <c r="K2436" s="42">
        <v>25.2</v>
      </c>
      <c r="L2436" s="43"/>
      <c r="M2436" s="43">
        <f>L2436*K2436</f>
        <v>0</v>
      </c>
      <c r="N2436" s="35">
        <v>4690368023009</v>
      </c>
    </row>
    <row r="2437" spans="1:14" ht="24" customHeight="1" outlineLevel="3" x14ac:dyDescent="0.2">
      <c r="A2437" s="45">
        <v>17116</v>
      </c>
      <c r="B2437" s="37" t="str">
        <f>HYPERLINK("http://sedek.ru/upload/iblock/7b9/astra_klounada.jpg","фото")</f>
        <v>фото</v>
      </c>
      <c r="C2437" s="38"/>
      <c r="D2437" s="38"/>
      <c r="E2437" s="39"/>
      <c r="F2437" s="39" t="s">
        <v>3007</v>
      </c>
      <c r="G2437" s="44">
        <v>0.2</v>
      </c>
      <c r="H2437" s="39" t="s">
        <v>101</v>
      </c>
      <c r="I2437" s="39" t="s">
        <v>102</v>
      </c>
      <c r="J2437" s="41">
        <v>3000</v>
      </c>
      <c r="K2437" s="42">
        <v>21.4</v>
      </c>
      <c r="L2437" s="43"/>
      <c r="M2437" s="43">
        <f>L2437*K2437</f>
        <v>0</v>
      </c>
      <c r="N2437" s="35">
        <v>4690368023016</v>
      </c>
    </row>
    <row r="2438" spans="1:14" ht="24" customHeight="1" outlineLevel="3" x14ac:dyDescent="0.2">
      <c r="A2438" s="45">
        <v>13741</v>
      </c>
      <c r="B2438" s="37" t="str">
        <f>HYPERLINK("http://sedek.ru/upload/iblock/a53/astra_klounessa.jpg","фото")</f>
        <v>фото</v>
      </c>
      <c r="C2438" s="38"/>
      <c r="D2438" s="38"/>
      <c r="E2438" s="39"/>
      <c r="F2438" s="39" t="s">
        <v>3008</v>
      </c>
      <c r="G2438" s="44">
        <v>0.2</v>
      </c>
      <c r="H2438" s="39" t="s">
        <v>101</v>
      </c>
      <c r="I2438" s="39" t="s">
        <v>102</v>
      </c>
      <c r="J2438" s="41">
        <v>3000</v>
      </c>
      <c r="K2438" s="42">
        <v>21.4</v>
      </c>
      <c r="L2438" s="43"/>
      <c r="M2438" s="43">
        <f>L2438*K2438</f>
        <v>0</v>
      </c>
      <c r="N2438" s="35">
        <v>4607149401031</v>
      </c>
    </row>
    <row r="2439" spans="1:14" ht="24" customHeight="1" outlineLevel="3" x14ac:dyDescent="0.2">
      <c r="A2439" s="45">
        <v>13717</v>
      </c>
      <c r="B2439" s="37" t="str">
        <f>HYPERLINK("http://sedek.ru/upload/iblock/d80/astra_knyazhna_meri.jpg","фото")</f>
        <v>фото</v>
      </c>
      <c r="C2439" s="38"/>
      <c r="D2439" s="38"/>
      <c r="E2439" s="39"/>
      <c r="F2439" s="39" t="s">
        <v>3009</v>
      </c>
      <c r="G2439" s="44">
        <v>0.2</v>
      </c>
      <c r="H2439" s="39" t="s">
        <v>101</v>
      </c>
      <c r="I2439" s="39" t="s">
        <v>102</v>
      </c>
      <c r="J2439" s="41">
        <v>3000</v>
      </c>
      <c r="K2439" s="42">
        <v>21.4</v>
      </c>
      <c r="L2439" s="43"/>
      <c r="M2439" s="43">
        <f>L2439*K2439</f>
        <v>0</v>
      </c>
      <c r="N2439" s="35">
        <v>4607116268315</v>
      </c>
    </row>
    <row r="2440" spans="1:14" ht="24" customHeight="1" outlineLevel="3" x14ac:dyDescent="0.2">
      <c r="A2440" s="45">
        <v>16440</v>
      </c>
      <c r="B2440" s="37" t="str">
        <f>HYPERLINK("http://sedek.ru/upload/iblock/717/astra_kokteyl.jpg","фото")</f>
        <v>фото</v>
      </c>
      <c r="C2440" s="38"/>
      <c r="D2440" s="38"/>
      <c r="E2440" s="39"/>
      <c r="F2440" s="39" t="s">
        <v>3010</v>
      </c>
      <c r="G2440" s="44">
        <v>0.2</v>
      </c>
      <c r="H2440" s="39" t="s">
        <v>101</v>
      </c>
      <c r="I2440" s="39" t="s">
        <v>102</v>
      </c>
      <c r="J2440" s="41">
        <v>3000</v>
      </c>
      <c r="K2440" s="42">
        <v>22.6</v>
      </c>
      <c r="L2440" s="43"/>
      <c r="M2440" s="43">
        <f>L2440*K2440</f>
        <v>0</v>
      </c>
      <c r="N2440" s="35">
        <v>4607116262825</v>
      </c>
    </row>
    <row r="2441" spans="1:14" ht="24" customHeight="1" outlineLevel="3" x14ac:dyDescent="0.2">
      <c r="A2441" s="45">
        <v>13945</v>
      </c>
      <c r="B2441" s="37" t="str">
        <f>HYPERLINK("http://sedek.ru/upload/iblock/b9e/astra_kolor_karpet.jpg","фото")</f>
        <v>фото</v>
      </c>
      <c r="C2441" s="38"/>
      <c r="D2441" s="38"/>
      <c r="E2441" s="39"/>
      <c r="F2441" s="39" t="s">
        <v>3011</v>
      </c>
      <c r="G2441" s="44">
        <v>0.2</v>
      </c>
      <c r="H2441" s="39" t="s">
        <v>101</v>
      </c>
      <c r="I2441" s="39" t="s">
        <v>102</v>
      </c>
      <c r="J2441" s="41">
        <v>3000</v>
      </c>
      <c r="K2441" s="42">
        <v>21.4</v>
      </c>
      <c r="L2441" s="43"/>
      <c r="M2441" s="43">
        <f>L2441*K2441</f>
        <v>0</v>
      </c>
      <c r="N2441" s="35">
        <v>4607116262832</v>
      </c>
    </row>
    <row r="2442" spans="1:14" ht="24" customHeight="1" outlineLevel="3" x14ac:dyDescent="0.2">
      <c r="A2442" s="45">
        <v>15736</v>
      </c>
      <c r="B2442" s="37" t="str">
        <f>HYPERLINK("http://sedek.ru/upload/iblock/150/astra_koroleva_rynka.jpg","фото")</f>
        <v>фото</v>
      </c>
      <c r="C2442" s="38"/>
      <c r="D2442" s="38"/>
      <c r="E2442" s="39"/>
      <c r="F2442" s="39" t="s">
        <v>3012</v>
      </c>
      <c r="G2442" s="44">
        <v>0.2</v>
      </c>
      <c r="H2442" s="39" t="s">
        <v>101</v>
      </c>
      <c r="I2442" s="39" t="s">
        <v>102</v>
      </c>
      <c r="J2442" s="41">
        <v>3000</v>
      </c>
      <c r="K2442" s="42">
        <v>21.4</v>
      </c>
      <c r="L2442" s="43"/>
      <c r="M2442" s="43">
        <f>L2442*K2442</f>
        <v>0</v>
      </c>
      <c r="N2442" s="35">
        <v>4607116262849</v>
      </c>
    </row>
    <row r="2443" spans="1:14" ht="24" customHeight="1" outlineLevel="3" x14ac:dyDescent="0.2">
      <c r="A2443" s="45">
        <v>14729</v>
      </c>
      <c r="B2443" s="37" t="str">
        <f>HYPERLINK("http://sedek.ru/upload/iblock/5ba/astra_kralya.jpg","фото")</f>
        <v>фото</v>
      </c>
      <c r="C2443" s="38"/>
      <c r="D2443" s="38"/>
      <c r="E2443" s="39"/>
      <c r="F2443" s="39" t="s">
        <v>3013</v>
      </c>
      <c r="G2443" s="44">
        <v>0.2</v>
      </c>
      <c r="H2443" s="39" t="s">
        <v>101</v>
      </c>
      <c r="I2443" s="39" t="s">
        <v>102</v>
      </c>
      <c r="J2443" s="41">
        <v>3000</v>
      </c>
      <c r="K2443" s="42">
        <v>21.4</v>
      </c>
      <c r="L2443" s="43"/>
      <c r="M2443" s="43">
        <f>L2443*K2443</f>
        <v>0</v>
      </c>
      <c r="N2443" s="35">
        <v>4607116268629</v>
      </c>
    </row>
    <row r="2444" spans="1:14" ht="24" customHeight="1" outlineLevel="3" x14ac:dyDescent="0.2">
      <c r="A2444" s="45">
        <v>14493</v>
      </c>
      <c r="B2444" s="37" t="str">
        <f>HYPERLINK("http://sedek.ru/upload/iblock/646/astra_kuzina.jpg","фото")</f>
        <v>фото</v>
      </c>
      <c r="C2444" s="38"/>
      <c r="D2444" s="38"/>
      <c r="E2444" s="39"/>
      <c r="F2444" s="39" t="s">
        <v>3014</v>
      </c>
      <c r="G2444" s="44">
        <v>0.2</v>
      </c>
      <c r="H2444" s="39" t="s">
        <v>101</v>
      </c>
      <c r="I2444" s="39" t="s">
        <v>102</v>
      </c>
      <c r="J2444" s="41">
        <v>3000</v>
      </c>
      <c r="K2444" s="42">
        <v>21.4</v>
      </c>
      <c r="L2444" s="43"/>
      <c r="M2444" s="43">
        <f>L2444*K2444</f>
        <v>0</v>
      </c>
      <c r="N2444" s="35">
        <v>4607116268735</v>
      </c>
    </row>
    <row r="2445" spans="1:14" ht="24" customHeight="1" outlineLevel="3" x14ac:dyDescent="0.2">
      <c r="A2445" s="45">
        <v>14821</v>
      </c>
      <c r="B2445" s="37" t="str">
        <f>HYPERLINK("http://sedek.ru/upload/iblock/c49/astra_layma.jpg","фото")</f>
        <v>фото</v>
      </c>
      <c r="C2445" s="38"/>
      <c r="D2445" s="38"/>
      <c r="E2445" s="39"/>
      <c r="F2445" s="39" t="s">
        <v>3015</v>
      </c>
      <c r="G2445" s="44">
        <v>0.2</v>
      </c>
      <c r="H2445" s="39" t="s">
        <v>101</v>
      </c>
      <c r="I2445" s="39" t="s">
        <v>102</v>
      </c>
      <c r="J2445" s="41">
        <v>3000</v>
      </c>
      <c r="K2445" s="42">
        <v>21.4</v>
      </c>
      <c r="L2445" s="43"/>
      <c r="M2445" s="43">
        <f>L2445*K2445</f>
        <v>0</v>
      </c>
      <c r="N2445" s="35">
        <v>4607116268636</v>
      </c>
    </row>
    <row r="2446" spans="1:14" ht="24" customHeight="1" outlineLevel="3" x14ac:dyDescent="0.2">
      <c r="A2446" s="45">
        <v>13854</v>
      </c>
      <c r="B2446" s="37" t="str">
        <f>HYPERLINK("http://www.sedek.ru/upload/iblock/cd8/astra_larisa.jpg","фото")</f>
        <v>фото</v>
      </c>
      <c r="C2446" s="38"/>
      <c r="D2446" s="38"/>
      <c r="E2446" s="39"/>
      <c r="F2446" s="39" t="s">
        <v>3016</v>
      </c>
      <c r="G2446" s="44">
        <v>0.2</v>
      </c>
      <c r="H2446" s="39" t="s">
        <v>101</v>
      </c>
      <c r="I2446" s="39" t="s">
        <v>102</v>
      </c>
      <c r="J2446" s="41">
        <v>3000</v>
      </c>
      <c r="K2446" s="42">
        <v>25.1</v>
      </c>
      <c r="L2446" s="43"/>
      <c r="M2446" s="43">
        <f>L2446*K2446</f>
        <v>0</v>
      </c>
      <c r="N2446" s="35">
        <v>4607116268025</v>
      </c>
    </row>
    <row r="2447" spans="1:14" ht="24" customHeight="1" outlineLevel="3" x14ac:dyDescent="0.2">
      <c r="A2447" s="45">
        <v>17091</v>
      </c>
      <c r="B2447" s="37" t="str">
        <f>HYPERLINK("http://sedek.ru/upload/iblock/9c5/astra_lizaveta.jpg","фото")</f>
        <v>фото</v>
      </c>
      <c r="C2447" s="38"/>
      <c r="D2447" s="38"/>
      <c r="E2447" s="39"/>
      <c r="F2447" s="39" t="s">
        <v>3017</v>
      </c>
      <c r="G2447" s="44">
        <v>0.2</v>
      </c>
      <c r="H2447" s="39" t="s">
        <v>101</v>
      </c>
      <c r="I2447" s="39" t="s">
        <v>102</v>
      </c>
      <c r="J2447" s="41">
        <v>3000</v>
      </c>
      <c r="K2447" s="42">
        <v>24.9</v>
      </c>
      <c r="L2447" s="43"/>
      <c r="M2447" s="43">
        <f>L2447*K2447</f>
        <v>0</v>
      </c>
      <c r="N2447" s="35">
        <v>4690368022552</v>
      </c>
    </row>
    <row r="2448" spans="1:14" ht="24" customHeight="1" outlineLevel="3" x14ac:dyDescent="0.2">
      <c r="A2448" s="45">
        <v>16216</v>
      </c>
      <c r="B2448" s="37" t="str">
        <f>HYPERLINK("http://sedek.ru/upload/iblock/8b9/astra_lyusya.jpg","фото")</f>
        <v>фото</v>
      </c>
      <c r="C2448" s="38"/>
      <c r="D2448" s="38"/>
      <c r="E2448" s="39"/>
      <c r="F2448" s="39" t="s">
        <v>3018</v>
      </c>
      <c r="G2448" s="44">
        <v>0.2</v>
      </c>
      <c r="H2448" s="39" t="s">
        <v>101</v>
      </c>
      <c r="I2448" s="39" t="s">
        <v>102</v>
      </c>
      <c r="J2448" s="41">
        <v>3000</v>
      </c>
      <c r="K2448" s="42">
        <v>24.9</v>
      </c>
      <c r="L2448" s="43"/>
      <c r="M2448" s="43">
        <f>L2448*K2448</f>
        <v>0</v>
      </c>
      <c r="N2448" s="35">
        <v>4607116268322</v>
      </c>
    </row>
    <row r="2449" spans="1:14" ht="24" customHeight="1" outlineLevel="3" x14ac:dyDescent="0.2">
      <c r="A2449" s="45">
        <v>16477</v>
      </c>
      <c r="B2449" s="37" t="str">
        <f>HYPERLINK("http://sedek.ru/upload/iblock/119/astra_madam_bovari.jpg","фото")</f>
        <v>фото</v>
      </c>
      <c r="C2449" s="38"/>
      <c r="D2449" s="38"/>
      <c r="E2449" s="39"/>
      <c r="F2449" s="39" t="s">
        <v>3019</v>
      </c>
      <c r="G2449" s="44">
        <v>0.1</v>
      </c>
      <c r="H2449" s="39" t="s">
        <v>101</v>
      </c>
      <c r="I2449" s="39" t="s">
        <v>102</v>
      </c>
      <c r="J2449" s="41">
        <v>3000</v>
      </c>
      <c r="K2449" s="42">
        <v>25.2</v>
      </c>
      <c r="L2449" s="43"/>
      <c r="M2449" s="43">
        <f>L2449*K2449</f>
        <v>0</v>
      </c>
      <c r="N2449" s="35">
        <v>4607116268049</v>
      </c>
    </row>
    <row r="2450" spans="1:14" ht="36" customHeight="1" outlineLevel="3" x14ac:dyDescent="0.2">
      <c r="A2450" s="45">
        <v>15229</v>
      </c>
      <c r="B2450" s="37" t="str">
        <f>HYPERLINK("http://sedek.ru/upload/iblock/a34/astra_makiyazh.jpg","фото")</f>
        <v>фото</v>
      </c>
      <c r="C2450" s="38"/>
      <c r="D2450" s="38"/>
      <c r="E2450" s="39"/>
      <c r="F2450" s="39" t="s">
        <v>3020</v>
      </c>
      <c r="G2450" s="44">
        <v>0.2</v>
      </c>
      <c r="H2450" s="39" t="s">
        <v>101</v>
      </c>
      <c r="I2450" s="39" t="s">
        <v>102</v>
      </c>
      <c r="J2450" s="41">
        <v>3000</v>
      </c>
      <c r="K2450" s="42">
        <v>24.9</v>
      </c>
      <c r="L2450" s="43"/>
      <c r="M2450" s="43">
        <f>L2450*K2450</f>
        <v>0</v>
      </c>
      <c r="N2450" s="35">
        <v>4607116268056</v>
      </c>
    </row>
    <row r="2451" spans="1:14" ht="24" customHeight="1" outlineLevel="3" x14ac:dyDescent="0.2">
      <c r="A2451" s="45">
        <v>14413</v>
      </c>
      <c r="B2451" s="37" t="str">
        <f>HYPERLINK("http://sedek.ru/upload/iblock/fc0/astra_marinka.jpg","фото")</f>
        <v>фото</v>
      </c>
      <c r="C2451" s="38"/>
      <c r="D2451" s="38"/>
      <c r="E2451" s="39"/>
      <c r="F2451" s="39" t="s">
        <v>3021</v>
      </c>
      <c r="G2451" s="44">
        <v>0.2</v>
      </c>
      <c r="H2451" s="39" t="s">
        <v>101</v>
      </c>
      <c r="I2451" s="39" t="s">
        <v>102</v>
      </c>
      <c r="J2451" s="41">
        <v>3000</v>
      </c>
      <c r="K2451" s="42">
        <v>21.4</v>
      </c>
      <c r="L2451" s="43"/>
      <c r="M2451" s="43">
        <f>L2451*K2451</f>
        <v>0</v>
      </c>
      <c r="N2451" s="35">
        <v>4607116268452</v>
      </c>
    </row>
    <row r="2452" spans="1:14" ht="24" customHeight="1" outlineLevel="3" x14ac:dyDescent="0.2">
      <c r="A2452" s="45">
        <v>15548</v>
      </c>
      <c r="B2452" s="37" t="str">
        <f>HYPERLINK("http://sedek.ru/upload/iblock/2a5/astra_mashenka.jpg","фото")</f>
        <v>фото</v>
      </c>
      <c r="C2452" s="38"/>
      <c r="D2452" s="38"/>
      <c r="E2452" s="39"/>
      <c r="F2452" s="39" t="s">
        <v>3022</v>
      </c>
      <c r="G2452" s="44">
        <v>0.2</v>
      </c>
      <c r="H2452" s="39" t="s">
        <v>101</v>
      </c>
      <c r="I2452" s="39" t="s">
        <v>102</v>
      </c>
      <c r="J2452" s="41">
        <v>3000</v>
      </c>
      <c r="K2452" s="42">
        <v>21.4</v>
      </c>
      <c r="L2452" s="43"/>
      <c r="M2452" s="43">
        <f>L2452*K2452</f>
        <v>0</v>
      </c>
      <c r="N2452" s="35">
        <v>4607116268469</v>
      </c>
    </row>
    <row r="2453" spans="1:14" ht="24" customHeight="1" outlineLevel="3" x14ac:dyDescent="0.2">
      <c r="A2453" s="45">
        <v>15981</v>
      </c>
      <c r="B2453" s="37" t="str">
        <f>HYPERLINK("http://sedek.ru/upload/iblock/d8f/astra_medeya.jpg","фото")</f>
        <v>фото</v>
      </c>
      <c r="C2453" s="38"/>
      <c r="D2453" s="38"/>
      <c r="E2453" s="39"/>
      <c r="F2453" s="39" t="s">
        <v>3023</v>
      </c>
      <c r="G2453" s="44">
        <v>0.2</v>
      </c>
      <c r="H2453" s="39" t="s">
        <v>101</v>
      </c>
      <c r="I2453" s="39" t="s">
        <v>102</v>
      </c>
      <c r="J2453" s="41">
        <v>3000</v>
      </c>
      <c r="K2453" s="42">
        <v>21.4</v>
      </c>
      <c r="L2453" s="43"/>
      <c r="M2453" s="43">
        <f>L2453*K2453</f>
        <v>0</v>
      </c>
      <c r="N2453" s="35">
        <v>4607149401048</v>
      </c>
    </row>
    <row r="2454" spans="1:14" ht="24" customHeight="1" outlineLevel="3" x14ac:dyDescent="0.2">
      <c r="A2454" s="45">
        <v>15397</v>
      </c>
      <c r="B2454" s="37" t="str">
        <f>HYPERLINK("http://sedek.ru/upload/iblock/560/astra_meteor.jpg","фото")</f>
        <v>фото</v>
      </c>
      <c r="C2454" s="38"/>
      <c r="D2454" s="38"/>
      <c r="E2454" s="39"/>
      <c r="F2454" s="39" t="s">
        <v>3024</v>
      </c>
      <c r="G2454" s="44">
        <v>0.2</v>
      </c>
      <c r="H2454" s="39" t="s">
        <v>101</v>
      </c>
      <c r="I2454" s="39" t="s">
        <v>102</v>
      </c>
      <c r="J2454" s="41">
        <v>3000</v>
      </c>
      <c r="K2454" s="42">
        <v>24.9</v>
      </c>
      <c r="L2454" s="43"/>
      <c r="M2454" s="43">
        <f>L2454*K2454</f>
        <v>0</v>
      </c>
      <c r="N2454" s="35">
        <v>4607116262863</v>
      </c>
    </row>
    <row r="2455" spans="1:14" ht="24" customHeight="1" outlineLevel="3" x14ac:dyDescent="0.2">
      <c r="A2455" s="45">
        <v>15379</v>
      </c>
      <c r="B2455" s="37" t="str">
        <f>HYPERLINK("http://www.sedek.ru/upload/iblock/514/astra_miledi.jpg","фото")</f>
        <v>фото</v>
      </c>
      <c r="C2455" s="38"/>
      <c r="D2455" s="38"/>
      <c r="E2455" s="39"/>
      <c r="F2455" s="39" t="s">
        <v>3025</v>
      </c>
      <c r="G2455" s="44">
        <v>0.2</v>
      </c>
      <c r="H2455" s="39" t="s">
        <v>101</v>
      </c>
      <c r="I2455" s="39" t="s">
        <v>102</v>
      </c>
      <c r="J2455" s="41">
        <v>3000</v>
      </c>
      <c r="K2455" s="42">
        <v>21.4</v>
      </c>
      <c r="L2455" s="43"/>
      <c r="M2455" s="43">
        <f>L2455*K2455</f>
        <v>0</v>
      </c>
      <c r="N2455" s="35">
        <v>4607116262870</v>
      </c>
    </row>
    <row r="2456" spans="1:14" ht="36" customHeight="1" outlineLevel="3" x14ac:dyDescent="0.2">
      <c r="A2456" s="45">
        <v>14359</v>
      </c>
      <c r="B2456" s="37" t="str">
        <f>HYPERLINK("http://sedek.ru/upload/iblock/015/astra_mistika.jpg","фото")</f>
        <v>фото</v>
      </c>
      <c r="C2456" s="38"/>
      <c r="D2456" s="38"/>
      <c r="E2456" s="39"/>
      <c r="F2456" s="39" t="s">
        <v>3026</v>
      </c>
      <c r="G2456" s="44">
        <v>0.2</v>
      </c>
      <c r="H2456" s="39" t="s">
        <v>101</v>
      </c>
      <c r="I2456" s="39" t="s">
        <v>102</v>
      </c>
      <c r="J2456" s="41">
        <v>3000</v>
      </c>
      <c r="K2456" s="42">
        <v>21.4</v>
      </c>
      <c r="L2456" s="43"/>
      <c r="M2456" s="43">
        <f>L2456*K2456</f>
        <v>0</v>
      </c>
      <c r="N2456" s="35">
        <v>4607116268643</v>
      </c>
    </row>
    <row r="2457" spans="1:14" ht="24" customHeight="1" outlineLevel="3" x14ac:dyDescent="0.2">
      <c r="A2457" s="45">
        <v>17041</v>
      </c>
      <c r="B2457" s="37" t="str">
        <f>HYPERLINK("http://www.sedek.ru/upload/iblock/467/astra_myuzikl_igolchlchataya_nizkoroslaya_smes.jpg","Фото")</f>
        <v>Фото</v>
      </c>
      <c r="C2457" s="38"/>
      <c r="D2457" s="38"/>
      <c r="E2457" s="39"/>
      <c r="F2457" s="39" t="s">
        <v>3027</v>
      </c>
      <c r="G2457" s="44">
        <v>0.2</v>
      </c>
      <c r="H2457" s="39" t="s">
        <v>101</v>
      </c>
      <c r="I2457" s="39" t="s">
        <v>102</v>
      </c>
      <c r="J2457" s="41">
        <v>3000</v>
      </c>
      <c r="K2457" s="42">
        <v>24.9</v>
      </c>
      <c r="L2457" s="43"/>
      <c r="M2457" s="43">
        <f>L2457*K2457</f>
        <v>0</v>
      </c>
      <c r="N2457" s="35">
        <v>4607116262887</v>
      </c>
    </row>
    <row r="2458" spans="1:14" ht="24" customHeight="1" outlineLevel="3" x14ac:dyDescent="0.2">
      <c r="A2458" s="45">
        <v>14033</v>
      </c>
      <c r="B2458" s="37" t="str">
        <f>HYPERLINK("http://sedek.ru/upload/iblock/fa7/astra_naina.jpg","фото")</f>
        <v>фото</v>
      </c>
      <c r="C2458" s="38"/>
      <c r="D2458" s="38"/>
      <c r="E2458" s="39"/>
      <c r="F2458" s="39" t="s">
        <v>3028</v>
      </c>
      <c r="G2458" s="44">
        <v>0.2</v>
      </c>
      <c r="H2458" s="39" t="s">
        <v>101</v>
      </c>
      <c r="I2458" s="39" t="s">
        <v>102</v>
      </c>
      <c r="J2458" s="41">
        <v>3000</v>
      </c>
      <c r="K2458" s="42">
        <v>22.6</v>
      </c>
      <c r="L2458" s="43"/>
      <c r="M2458" s="43">
        <f>L2458*K2458</f>
        <v>0</v>
      </c>
      <c r="N2458" s="35">
        <v>4607116268650</v>
      </c>
    </row>
    <row r="2459" spans="1:14" ht="24" customHeight="1" outlineLevel="3" x14ac:dyDescent="0.2">
      <c r="A2459" s="45">
        <v>17104</v>
      </c>
      <c r="B2459" s="37" t="str">
        <f>HYPERLINK("http://sedek.ru/upload/iblock/9bf/astra_nastasya.jpg","фото")</f>
        <v>фото</v>
      </c>
      <c r="C2459" s="38"/>
      <c r="D2459" s="38"/>
      <c r="E2459" s="39"/>
      <c r="F2459" s="39" t="s">
        <v>3029</v>
      </c>
      <c r="G2459" s="44">
        <v>0.2</v>
      </c>
      <c r="H2459" s="39" t="s">
        <v>101</v>
      </c>
      <c r="I2459" s="39" t="s">
        <v>102</v>
      </c>
      <c r="J2459" s="41">
        <v>3000</v>
      </c>
      <c r="K2459" s="42">
        <v>24.9</v>
      </c>
      <c r="L2459" s="43"/>
      <c r="M2459" s="43">
        <f>L2459*K2459</f>
        <v>0</v>
      </c>
      <c r="N2459" s="35">
        <v>4690368022958</v>
      </c>
    </row>
    <row r="2460" spans="1:14" ht="24" customHeight="1" outlineLevel="3" x14ac:dyDescent="0.2">
      <c r="A2460" s="45">
        <v>15369</v>
      </c>
      <c r="B2460" s="37" t="str">
        <f>HYPERLINK("http://sedek.ru/upload/iblock/38e/astra_nastenka.jpg","фото")</f>
        <v>фото</v>
      </c>
      <c r="C2460" s="38"/>
      <c r="D2460" s="38"/>
      <c r="E2460" s="39"/>
      <c r="F2460" s="39" t="s">
        <v>3030</v>
      </c>
      <c r="G2460" s="44">
        <v>0.2</v>
      </c>
      <c r="H2460" s="39" t="s">
        <v>101</v>
      </c>
      <c r="I2460" s="39" t="s">
        <v>102</v>
      </c>
      <c r="J2460" s="41">
        <v>3000</v>
      </c>
      <c r="K2460" s="42">
        <v>24.9</v>
      </c>
      <c r="L2460" s="43"/>
      <c r="M2460" s="43">
        <f>L2460*K2460</f>
        <v>0</v>
      </c>
      <c r="N2460" s="35">
        <v>4607116268254</v>
      </c>
    </row>
    <row r="2461" spans="1:14" ht="24" customHeight="1" outlineLevel="3" x14ac:dyDescent="0.2">
      <c r="A2461" s="45">
        <v>16115</v>
      </c>
      <c r="B2461" s="37" t="str">
        <f>HYPERLINK("http://sedek.ru/upload/iblock/264/astra_nina.jpg","фото")</f>
        <v>фото</v>
      </c>
      <c r="C2461" s="38"/>
      <c r="D2461" s="38"/>
      <c r="E2461" s="39"/>
      <c r="F2461" s="39" t="s">
        <v>3031</v>
      </c>
      <c r="G2461" s="44">
        <v>0.2</v>
      </c>
      <c r="H2461" s="39" t="s">
        <v>101</v>
      </c>
      <c r="I2461" s="39" t="s">
        <v>102</v>
      </c>
      <c r="J2461" s="41">
        <v>3000</v>
      </c>
      <c r="K2461" s="42">
        <v>21.4</v>
      </c>
      <c r="L2461" s="43"/>
      <c r="M2461" s="43">
        <f>L2461*K2461</f>
        <v>0</v>
      </c>
      <c r="N2461" s="35">
        <v>4607149401062</v>
      </c>
    </row>
    <row r="2462" spans="1:14" ht="24" customHeight="1" outlineLevel="3" x14ac:dyDescent="0.2">
      <c r="A2462" s="45">
        <v>15615</v>
      </c>
      <c r="B2462" s="37" t="str">
        <f>HYPERLINK("http://sedek.ru/upload/iblock/3bb/astra_nyusiya.jpg","фото")</f>
        <v>фото</v>
      </c>
      <c r="C2462" s="38"/>
      <c r="D2462" s="38"/>
      <c r="E2462" s="39"/>
      <c r="F2462" s="39" t="s">
        <v>3032</v>
      </c>
      <c r="G2462" s="44">
        <v>0.2</v>
      </c>
      <c r="H2462" s="39" t="s">
        <v>101</v>
      </c>
      <c r="I2462" s="39" t="s">
        <v>102</v>
      </c>
      <c r="J2462" s="41">
        <v>3000</v>
      </c>
      <c r="K2462" s="42">
        <v>21.4</v>
      </c>
      <c r="L2462" s="43"/>
      <c r="M2462" s="43">
        <f>L2462*K2462</f>
        <v>0</v>
      </c>
      <c r="N2462" s="35">
        <v>4607116268476</v>
      </c>
    </row>
    <row r="2463" spans="1:14" ht="24" customHeight="1" outlineLevel="3" x14ac:dyDescent="0.2">
      <c r="A2463" s="45">
        <v>16305</v>
      </c>
      <c r="B2463" s="37" t="str">
        <f>HYPERLINK("http://sedek.ru/upload/iblock/5e0/astra_ozero.jpg","фото")</f>
        <v>фото</v>
      </c>
      <c r="C2463" s="38"/>
      <c r="D2463" s="38"/>
      <c r="E2463" s="39"/>
      <c r="F2463" s="39" t="s">
        <v>3033</v>
      </c>
      <c r="G2463" s="44">
        <v>0.1</v>
      </c>
      <c r="H2463" s="39" t="s">
        <v>101</v>
      </c>
      <c r="I2463" s="39" t="s">
        <v>102</v>
      </c>
      <c r="J2463" s="41">
        <v>3000</v>
      </c>
      <c r="K2463" s="42">
        <v>25.1</v>
      </c>
      <c r="L2463" s="43"/>
      <c r="M2463" s="43">
        <f>L2463*K2463</f>
        <v>0</v>
      </c>
      <c r="N2463" s="35">
        <v>4607116262894</v>
      </c>
    </row>
    <row r="2464" spans="1:14" ht="36" customHeight="1" outlineLevel="3" x14ac:dyDescent="0.2">
      <c r="A2464" s="45">
        <v>15840</v>
      </c>
      <c r="B2464" s="37" t="str">
        <f>HYPERLINK("http://sedek.ru/upload/iblock/183/astra_okean_zhelaniy.jpg","фото")</f>
        <v>фото</v>
      </c>
      <c r="C2464" s="38"/>
      <c r="D2464" s="38"/>
      <c r="E2464" s="39"/>
      <c r="F2464" s="39" t="s">
        <v>3034</v>
      </c>
      <c r="G2464" s="44">
        <v>0.1</v>
      </c>
      <c r="H2464" s="39" t="s">
        <v>101</v>
      </c>
      <c r="I2464" s="39" t="s">
        <v>102</v>
      </c>
      <c r="J2464" s="41">
        <v>3000</v>
      </c>
      <c r="K2464" s="42">
        <v>24.9</v>
      </c>
      <c r="L2464" s="43"/>
      <c r="M2464" s="43">
        <f>L2464*K2464</f>
        <v>0</v>
      </c>
      <c r="N2464" s="35">
        <v>4607116268070</v>
      </c>
    </row>
    <row r="2465" spans="1:14" ht="24" customHeight="1" outlineLevel="3" x14ac:dyDescent="0.2">
      <c r="A2465" s="45">
        <v>14807</v>
      </c>
      <c r="B2465" s="37" t="str">
        <f>HYPERLINK("http://sedek.ru/upload/iblock/a19/astra_olenka.jpg","фото")</f>
        <v>фото</v>
      </c>
      <c r="C2465" s="38"/>
      <c r="D2465" s="38"/>
      <c r="E2465" s="39"/>
      <c r="F2465" s="39" t="s">
        <v>3035</v>
      </c>
      <c r="G2465" s="54">
        <v>0.25</v>
      </c>
      <c r="H2465" s="39" t="s">
        <v>101</v>
      </c>
      <c r="I2465" s="39" t="s">
        <v>102</v>
      </c>
      <c r="J2465" s="41">
        <v>3000</v>
      </c>
      <c r="K2465" s="42">
        <v>24.9</v>
      </c>
      <c r="L2465" s="43"/>
      <c r="M2465" s="43">
        <f>L2465*K2465</f>
        <v>0</v>
      </c>
      <c r="N2465" s="35">
        <v>4607116268674</v>
      </c>
    </row>
    <row r="2466" spans="1:14" ht="24" customHeight="1" outlineLevel="3" x14ac:dyDescent="0.2">
      <c r="A2466" s="45">
        <v>16378</v>
      </c>
      <c r="B2466" s="37" t="str">
        <f>HYPERLINK("http://sedek.ru/upload/iblock/2ff/astra_opalfoyer.jpg","фото")</f>
        <v>фото</v>
      </c>
      <c r="C2466" s="38"/>
      <c r="D2466" s="38"/>
      <c r="E2466" s="39"/>
      <c r="F2466" s="39" t="s">
        <v>3036</v>
      </c>
      <c r="G2466" s="44">
        <v>0.2</v>
      </c>
      <c r="H2466" s="39" t="s">
        <v>101</v>
      </c>
      <c r="I2466" s="39" t="s">
        <v>102</v>
      </c>
      <c r="J2466" s="41">
        <v>3000</v>
      </c>
      <c r="K2466" s="42">
        <v>21.4</v>
      </c>
      <c r="L2466" s="43"/>
      <c r="M2466" s="43">
        <f>L2466*K2466</f>
        <v>0</v>
      </c>
      <c r="N2466" s="35">
        <v>4607116262900</v>
      </c>
    </row>
    <row r="2467" spans="1:14" ht="24" customHeight="1" outlineLevel="3" x14ac:dyDescent="0.2">
      <c r="A2467" s="45">
        <v>15553</v>
      </c>
      <c r="B2467" s="37" t="str">
        <f>HYPERLINK("http://sedek.ru/upload/iblock/0d6/astra_osenniy_etyud.jpg","фото")</f>
        <v>фото</v>
      </c>
      <c r="C2467" s="38"/>
      <c r="D2467" s="38"/>
      <c r="E2467" s="39"/>
      <c r="F2467" s="39" t="s">
        <v>3037</v>
      </c>
      <c r="G2467" s="44">
        <v>0.2</v>
      </c>
      <c r="H2467" s="39" t="s">
        <v>101</v>
      </c>
      <c r="I2467" s="39" t="s">
        <v>102</v>
      </c>
      <c r="J2467" s="41">
        <v>3000</v>
      </c>
      <c r="K2467" s="42">
        <v>21.4</v>
      </c>
      <c r="L2467" s="43"/>
      <c r="M2467" s="43">
        <f>L2467*K2467</f>
        <v>0</v>
      </c>
      <c r="N2467" s="35">
        <v>4607116262917</v>
      </c>
    </row>
    <row r="2468" spans="1:14" ht="24" customHeight="1" outlineLevel="3" x14ac:dyDescent="0.2">
      <c r="A2468" s="45">
        <v>15276</v>
      </c>
      <c r="B2468" s="37" t="str">
        <f>HYPERLINK("http://sedek.ru/upload/iblock/652/astra_palitra.jpg","фото")</f>
        <v>фото</v>
      </c>
      <c r="C2468" s="38"/>
      <c r="D2468" s="38"/>
      <c r="E2468" s="39"/>
      <c r="F2468" s="39" t="s">
        <v>3038</v>
      </c>
      <c r="G2468" s="44">
        <v>0.2</v>
      </c>
      <c r="H2468" s="39" t="s">
        <v>101</v>
      </c>
      <c r="I2468" s="39" t="s">
        <v>102</v>
      </c>
      <c r="J2468" s="41">
        <v>3000</v>
      </c>
      <c r="K2468" s="42">
        <v>21.4</v>
      </c>
      <c r="L2468" s="43"/>
      <c r="M2468" s="43">
        <f>L2468*K2468</f>
        <v>0</v>
      </c>
      <c r="N2468" s="35">
        <v>4607116262931</v>
      </c>
    </row>
    <row r="2469" spans="1:14" ht="24" customHeight="1" outlineLevel="3" x14ac:dyDescent="0.2">
      <c r="A2469" s="45">
        <v>15134</v>
      </c>
      <c r="B2469" s="37" t="str">
        <f>HYPERLINK("http://sedek.ru/upload/iblock/20b/astra_pamyat.jpg","фото")</f>
        <v>фото</v>
      </c>
      <c r="C2469" s="38"/>
      <c r="D2469" s="38"/>
      <c r="E2469" s="39"/>
      <c r="F2469" s="39" t="s">
        <v>3039</v>
      </c>
      <c r="G2469" s="44">
        <v>0.2</v>
      </c>
      <c r="H2469" s="39" t="s">
        <v>101</v>
      </c>
      <c r="I2469" s="39" t="s">
        <v>102</v>
      </c>
      <c r="J2469" s="41">
        <v>3000</v>
      </c>
      <c r="K2469" s="42">
        <v>21.4</v>
      </c>
      <c r="L2469" s="43"/>
      <c r="M2469" s="43">
        <f>L2469*K2469</f>
        <v>0</v>
      </c>
      <c r="N2469" s="35">
        <v>4607116262948</v>
      </c>
    </row>
    <row r="2470" spans="1:14" ht="24" customHeight="1" outlineLevel="3" x14ac:dyDescent="0.2">
      <c r="A2470" s="45">
        <v>16073</v>
      </c>
      <c r="B2470" s="37" t="str">
        <f>HYPERLINK("http://sedek.ru/upload/iblock/d2f/astra_pastoral.jpg","фото")</f>
        <v>фото</v>
      </c>
      <c r="C2470" s="38"/>
      <c r="D2470" s="38"/>
      <c r="E2470" s="39"/>
      <c r="F2470" s="39" t="s">
        <v>3040</v>
      </c>
      <c r="G2470" s="54">
        <v>0.25</v>
      </c>
      <c r="H2470" s="39" t="s">
        <v>101</v>
      </c>
      <c r="I2470" s="39" t="s">
        <v>102</v>
      </c>
      <c r="J2470" s="41">
        <v>3000</v>
      </c>
      <c r="K2470" s="42">
        <v>23.3</v>
      </c>
      <c r="L2470" s="43"/>
      <c r="M2470" s="43">
        <f>L2470*K2470</f>
        <v>0</v>
      </c>
      <c r="N2470" s="35">
        <v>4607116268094</v>
      </c>
    </row>
    <row r="2471" spans="1:14" ht="24" customHeight="1" outlineLevel="3" x14ac:dyDescent="0.2">
      <c r="A2471" s="45">
        <v>17099</v>
      </c>
      <c r="B2471" s="37" t="str">
        <f>HYPERLINK("http://sedek.ru/upload/iblock/9d8/astra_pastushok.jpg","фото")</f>
        <v>фото</v>
      </c>
      <c r="C2471" s="38"/>
      <c r="D2471" s="38"/>
      <c r="E2471" s="39"/>
      <c r="F2471" s="39" t="s">
        <v>3041</v>
      </c>
      <c r="G2471" s="44">
        <v>0.2</v>
      </c>
      <c r="H2471" s="39" t="s">
        <v>101</v>
      </c>
      <c r="I2471" s="39" t="s">
        <v>102</v>
      </c>
      <c r="J2471" s="41">
        <v>3000</v>
      </c>
      <c r="K2471" s="42">
        <v>21.4</v>
      </c>
      <c r="L2471" s="43"/>
      <c r="M2471" s="43">
        <f>L2471*K2471</f>
        <v>0</v>
      </c>
      <c r="N2471" s="35">
        <v>4690368022927</v>
      </c>
    </row>
    <row r="2472" spans="1:14" ht="36" customHeight="1" outlineLevel="3" x14ac:dyDescent="0.2">
      <c r="A2472" s="45">
        <v>13576</v>
      </c>
      <c r="B2472" s="37" t="str">
        <f>HYPERLINK("http://sedek.ru/upload/iblock/8f3/astra_polina_viardo.jpg","фото")</f>
        <v>фото</v>
      </c>
      <c r="C2472" s="38"/>
      <c r="D2472" s="38"/>
      <c r="E2472" s="39"/>
      <c r="F2472" s="39" t="s">
        <v>3042</v>
      </c>
      <c r="G2472" s="44">
        <v>0.2</v>
      </c>
      <c r="H2472" s="39" t="s">
        <v>101</v>
      </c>
      <c r="I2472" s="39" t="s">
        <v>102</v>
      </c>
      <c r="J2472" s="41">
        <v>3000</v>
      </c>
      <c r="K2472" s="42">
        <v>23.2</v>
      </c>
      <c r="L2472" s="43"/>
      <c r="M2472" s="43">
        <f>L2472*K2472</f>
        <v>0</v>
      </c>
      <c r="N2472" s="35">
        <v>4607116268100</v>
      </c>
    </row>
    <row r="2473" spans="1:14" ht="24" customHeight="1" outlineLevel="3" x14ac:dyDescent="0.2">
      <c r="A2473" s="45">
        <v>14791</v>
      </c>
      <c r="B2473" s="37" t="str">
        <f>HYPERLINK("http://www.sedek.ru/upload/iblock/15e/astra_polka_pionovidnaya.jpg","фото")</f>
        <v>фото</v>
      </c>
      <c r="C2473" s="38"/>
      <c r="D2473" s="38"/>
      <c r="E2473" s="39"/>
      <c r="F2473" s="39" t="s">
        <v>3043</v>
      </c>
      <c r="G2473" s="54">
        <v>0.25</v>
      </c>
      <c r="H2473" s="39" t="s">
        <v>101</v>
      </c>
      <c r="I2473" s="39" t="s">
        <v>102</v>
      </c>
      <c r="J2473" s="41">
        <v>3000</v>
      </c>
      <c r="K2473" s="42">
        <v>24.1</v>
      </c>
      <c r="L2473" s="43"/>
      <c r="M2473" s="43">
        <f>L2473*K2473</f>
        <v>0</v>
      </c>
      <c r="N2473" s="35">
        <v>4607116268117</v>
      </c>
    </row>
    <row r="2474" spans="1:14" ht="24" customHeight="1" outlineLevel="3" x14ac:dyDescent="0.2">
      <c r="A2474" s="45">
        <v>17105</v>
      </c>
      <c r="B2474" s="37" t="str">
        <f>HYPERLINK("http://sedek.ru/upload/iblock/822/astra_polyushko.jpg","фото")</f>
        <v>фото</v>
      </c>
      <c r="C2474" s="38"/>
      <c r="D2474" s="38"/>
      <c r="E2474" s="39"/>
      <c r="F2474" s="39" t="s">
        <v>3044</v>
      </c>
      <c r="G2474" s="44">
        <v>0.2</v>
      </c>
      <c r="H2474" s="39" t="s">
        <v>101</v>
      </c>
      <c r="I2474" s="39" t="s">
        <v>102</v>
      </c>
      <c r="J2474" s="41">
        <v>3000</v>
      </c>
      <c r="K2474" s="42">
        <v>25.1</v>
      </c>
      <c r="L2474" s="43"/>
      <c r="M2474" s="43">
        <f>L2474*K2474</f>
        <v>0</v>
      </c>
      <c r="N2474" s="35">
        <v>4690368022965</v>
      </c>
    </row>
    <row r="2475" spans="1:14" ht="24" customHeight="1" outlineLevel="3" x14ac:dyDescent="0.2">
      <c r="A2475" s="45">
        <v>16226</v>
      </c>
      <c r="B2475" s="37" t="str">
        <f>HYPERLINK("http://sedek.ru/upload/iblock/163/astra_prazdnik_detstva.jpg","фото")</f>
        <v>фото</v>
      </c>
      <c r="C2475" s="38"/>
      <c r="D2475" s="38"/>
      <c r="E2475" s="39"/>
      <c r="F2475" s="39" t="s">
        <v>3045</v>
      </c>
      <c r="G2475" s="44">
        <v>0.2</v>
      </c>
      <c r="H2475" s="39" t="s">
        <v>101</v>
      </c>
      <c r="I2475" s="39" t="s">
        <v>102</v>
      </c>
      <c r="J2475" s="41">
        <v>3000</v>
      </c>
      <c r="K2475" s="42">
        <v>21.4</v>
      </c>
      <c r="L2475" s="43"/>
      <c r="M2475" s="43">
        <f>L2475*K2475</f>
        <v>0</v>
      </c>
      <c r="N2475" s="35">
        <v>4607116268766</v>
      </c>
    </row>
    <row r="2476" spans="1:14" ht="24" customHeight="1" outlineLevel="3" x14ac:dyDescent="0.2">
      <c r="A2476" s="45">
        <v>17056</v>
      </c>
      <c r="B2476" s="37" t="str">
        <f>HYPERLINK("http://sedek.ru/upload/iblock/b23/astra_printsessa.jpg","фото")</f>
        <v>фото</v>
      </c>
      <c r="C2476" s="38"/>
      <c r="D2476" s="38"/>
      <c r="E2476" s="39"/>
      <c r="F2476" s="39" t="s">
        <v>3046</v>
      </c>
      <c r="G2476" s="44">
        <v>0.2</v>
      </c>
      <c r="H2476" s="39" t="s">
        <v>101</v>
      </c>
      <c r="I2476" s="39" t="s">
        <v>102</v>
      </c>
      <c r="J2476" s="41">
        <v>3000</v>
      </c>
      <c r="K2476" s="42">
        <v>21.4</v>
      </c>
      <c r="L2476" s="43"/>
      <c r="M2476" s="43">
        <f>L2476*K2476</f>
        <v>0</v>
      </c>
      <c r="N2476" s="35">
        <v>4607149401420</v>
      </c>
    </row>
    <row r="2477" spans="1:14" ht="36" customHeight="1" outlineLevel="3" x14ac:dyDescent="0.2">
      <c r="A2477" s="45">
        <v>14084</v>
      </c>
      <c r="B2477" s="37" t="str">
        <f>HYPERLINK("http://www.sedek.ru/upload/iblock/398/astra_printsessa_karina.jpg","фото")</f>
        <v>фото</v>
      </c>
      <c r="C2477" s="38"/>
      <c r="D2477" s="38"/>
      <c r="E2477" s="39"/>
      <c r="F2477" s="39" t="s">
        <v>3047</v>
      </c>
      <c r="G2477" s="44">
        <v>0.2</v>
      </c>
      <c r="H2477" s="39" t="s">
        <v>101</v>
      </c>
      <c r="I2477" s="39" t="s">
        <v>102</v>
      </c>
      <c r="J2477" s="41">
        <v>3000</v>
      </c>
      <c r="K2477" s="42">
        <v>21.4</v>
      </c>
      <c r="L2477" s="43"/>
      <c r="M2477" s="43">
        <f>L2477*K2477</f>
        <v>0</v>
      </c>
      <c r="N2477" s="35">
        <v>4607116268438</v>
      </c>
    </row>
    <row r="2478" spans="1:14" ht="24" customHeight="1" outlineLevel="3" x14ac:dyDescent="0.2">
      <c r="A2478" s="45">
        <v>14466</v>
      </c>
      <c r="B2478" s="37" t="str">
        <f>HYPERLINK("http://sedek.ru/upload/iblock/795/astra_printsessa_ofeliya.jpg","фото")</f>
        <v>фото</v>
      </c>
      <c r="C2478" s="38"/>
      <c r="D2478" s="38"/>
      <c r="E2478" s="39"/>
      <c r="F2478" s="39" t="s">
        <v>3048</v>
      </c>
      <c r="G2478" s="44">
        <v>0.2</v>
      </c>
      <c r="H2478" s="39" t="s">
        <v>101</v>
      </c>
      <c r="I2478" s="39" t="s">
        <v>102</v>
      </c>
      <c r="J2478" s="41">
        <v>3000</v>
      </c>
      <c r="K2478" s="42">
        <v>21.4</v>
      </c>
      <c r="L2478" s="43"/>
      <c r="M2478" s="43">
        <f>L2478*K2478</f>
        <v>0</v>
      </c>
      <c r="N2478" s="35">
        <v>4607116262955</v>
      </c>
    </row>
    <row r="2479" spans="1:14" ht="36" customHeight="1" outlineLevel="3" x14ac:dyDescent="0.2">
      <c r="A2479" s="45">
        <v>15419</v>
      </c>
      <c r="B2479" s="37" t="str">
        <f>HYPERLINK("http://sedek.ru/upload/iblock/21d/astra_prichuda.jpg","фото")</f>
        <v>фото</v>
      </c>
      <c r="C2479" s="38"/>
      <c r="D2479" s="38"/>
      <c r="E2479" s="39"/>
      <c r="F2479" s="39" t="s">
        <v>3049</v>
      </c>
      <c r="G2479" s="44">
        <v>0.2</v>
      </c>
      <c r="H2479" s="39"/>
      <c r="I2479" s="39" t="s">
        <v>102</v>
      </c>
      <c r="J2479" s="41">
        <v>3000</v>
      </c>
      <c r="K2479" s="42">
        <v>21.4</v>
      </c>
      <c r="L2479" s="43"/>
      <c r="M2479" s="43">
        <f>L2479*K2479</f>
        <v>0</v>
      </c>
      <c r="N2479" s="35">
        <v>4607116268698</v>
      </c>
    </row>
    <row r="2480" spans="1:14" ht="24" customHeight="1" outlineLevel="3" x14ac:dyDescent="0.2">
      <c r="A2480" s="45">
        <v>15107</v>
      </c>
      <c r="B2480" s="37" t="str">
        <f>HYPERLINK("http://sedek.ru/upload/iblock/a90/astra_pushinka.jpg","фото")</f>
        <v>фото</v>
      </c>
      <c r="C2480" s="38"/>
      <c r="D2480" s="38"/>
      <c r="E2480" s="39"/>
      <c r="F2480" s="39" t="s">
        <v>3050</v>
      </c>
      <c r="G2480" s="44">
        <v>0.2</v>
      </c>
      <c r="H2480" s="39" t="s">
        <v>101</v>
      </c>
      <c r="I2480" s="39" t="s">
        <v>102</v>
      </c>
      <c r="J2480" s="41">
        <v>3000</v>
      </c>
      <c r="K2480" s="42">
        <v>21.4</v>
      </c>
      <c r="L2480" s="43"/>
      <c r="M2480" s="43">
        <f>L2480*K2480</f>
        <v>0</v>
      </c>
      <c r="N2480" s="35">
        <v>4607116268704</v>
      </c>
    </row>
    <row r="2481" spans="1:14" ht="36" customHeight="1" outlineLevel="3" x14ac:dyDescent="0.2">
      <c r="A2481" s="45">
        <v>13875</v>
      </c>
      <c r="B2481" s="37" t="str">
        <f>HYPERLINK("http://sedek.ru/upload/iblock/0df/astra_radunitsa.jpg","фото")</f>
        <v>фото</v>
      </c>
      <c r="C2481" s="38"/>
      <c r="D2481" s="38"/>
      <c r="E2481" s="39"/>
      <c r="F2481" s="39" t="s">
        <v>3051</v>
      </c>
      <c r="G2481" s="44">
        <v>0.2</v>
      </c>
      <c r="H2481" s="39" t="s">
        <v>101</v>
      </c>
      <c r="I2481" s="39" t="s">
        <v>102</v>
      </c>
      <c r="J2481" s="41">
        <v>3000</v>
      </c>
      <c r="K2481" s="42">
        <v>21.4</v>
      </c>
      <c r="L2481" s="43"/>
      <c r="M2481" s="43">
        <f>L2481*K2481</f>
        <v>0</v>
      </c>
      <c r="N2481" s="35">
        <v>4607116268209</v>
      </c>
    </row>
    <row r="2482" spans="1:14" ht="24" customHeight="1" outlineLevel="3" x14ac:dyDescent="0.2">
      <c r="A2482" s="45">
        <v>15506</v>
      </c>
      <c r="B2482" s="37" t="str">
        <f>HYPERLINK("http://sedek.ru/upload/iblock/615/astra_rashel.jpg","фото")</f>
        <v>фото</v>
      </c>
      <c r="C2482" s="38"/>
      <c r="D2482" s="38"/>
      <c r="E2482" s="39"/>
      <c r="F2482" s="39" t="s">
        <v>3052</v>
      </c>
      <c r="G2482" s="44">
        <v>0.2</v>
      </c>
      <c r="H2482" s="39" t="s">
        <v>101</v>
      </c>
      <c r="I2482" s="39" t="s">
        <v>102</v>
      </c>
      <c r="J2482" s="41">
        <v>3000</v>
      </c>
      <c r="K2482" s="42">
        <v>21.4</v>
      </c>
      <c r="L2482" s="43"/>
      <c r="M2482" s="43">
        <f>L2482*K2482</f>
        <v>0</v>
      </c>
      <c r="N2482" s="35">
        <v>4607116268612</v>
      </c>
    </row>
    <row r="2483" spans="1:14" ht="24" customHeight="1" outlineLevel="3" x14ac:dyDescent="0.2">
      <c r="A2483" s="45">
        <v>13490</v>
      </c>
      <c r="B2483" s="37" t="str">
        <f>HYPERLINK("http://sedek.ru/upload/iblock/c17/astra_regina.jpg","фото")</f>
        <v>фото</v>
      </c>
      <c r="C2483" s="38"/>
      <c r="D2483" s="38"/>
      <c r="E2483" s="39"/>
      <c r="F2483" s="39" t="s">
        <v>3053</v>
      </c>
      <c r="G2483" s="44">
        <v>0.2</v>
      </c>
      <c r="H2483" s="39" t="s">
        <v>101</v>
      </c>
      <c r="I2483" s="39" t="s">
        <v>102</v>
      </c>
      <c r="J2483" s="41">
        <v>3000</v>
      </c>
      <c r="K2483" s="42">
        <v>21.4</v>
      </c>
      <c r="L2483" s="43"/>
      <c r="M2483" s="43">
        <f>L2483*K2483</f>
        <v>0</v>
      </c>
      <c r="N2483" s="35">
        <v>4607116268537</v>
      </c>
    </row>
    <row r="2484" spans="1:14" ht="24" customHeight="1" outlineLevel="3" x14ac:dyDescent="0.2">
      <c r="A2484" s="45">
        <v>14113</v>
      </c>
      <c r="B2484" s="37" t="str">
        <f>HYPERLINK("http://sedek.ru/upload/iblock/d34/astra_reynbou.jpg","фото")</f>
        <v>фото</v>
      </c>
      <c r="C2484" s="38"/>
      <c r="D2484" s="38"/>
      <c r="E2484" s="39"/>
      <c r="F2484" s="39" t="s">
        <v>3054</v>
      </c>
      <c r="G2484" s="44">
        <v>0.2</v>
      </c>
      <c r="H2484" s="39" t="s">
        <v>101</v>
      </c>
      <c r="I2484" s="39" t="s">
        <v>102</v>
      </c>
      <c r="J2484" s="41">
        <v>3000</v>
      </c>
      <c r="K2484" s="42">
        <v>21.4</v>
      </c>
      <c r="L2484" s="43"/>
      <c r="M2484" s="43">
        <f>L2484*K2484</f>
        <v>0</v>
      </c>
      <c r="N2484" s="35">
        <v>4607116262979</v>
      </c>
    </row>
    <row r="2485" spans="1:14" ht="24" customHeight="1" outlineLevel="3" x14ac:dyDescent="0.2">
      <c r="A2485" s="45">
        <v>15975</v>
      </c>
      <c r="B2485" s="37" t="str">
        <f>HYPERLINK("http://sedek.ru/upload/iblock/80f/astra_roksalana.jpg","фото")</f>
        <v>фото</v>
      </c>
      <c r="C2485" s="38"/>
      <c r="D2485" s="38"/>
      <c r="E2485" s="39"/>
      <c r="F2485" s="39" t="s">
        <v>3055</v>
      </c>
      <c r="G2485" s="44">
        <v>0.2</v>
      </c>
      <c r="H2485" s="39" t="s">
        <v>101</v>
      </c>
      <c r="I2485" s="39" t="s">
        <v>102</v>
      </c>
      <c r="J2485" s="41">
        <v>3000</v>
      </c>
      <c r="K2485" s="42">
        <v>22.1</v>
      </c>
      <c r="L2485" s="43"/>
      <c r="M2485" s="43">
        <f>L2485*K2485</f>
        <v>0</v>
      </c>
      <c r="N2485" s="35">
        <v>4607116262962</v>
      </c>
    </row>
    <row r="2486" spans="1:14" ht="24" customHeight="1" outlineLevel="3" x14ac:dyDescent="0.2">
      <c r="A2486" s="45">
        <v>17111</v>
      </c>
      <c r="B2486" s="37" t="str">
        <f>HYPERLINK("http://sedek.ru/upload/iblock/934/astra_sabina.jpg","фото")</f>
        <v>фото</v>
      </c>
      <c r="C2486" s="38"/>
      <c r="D2486" s="38"/>
      <c r="E2486" s="39"/>
      <c r="F2486" s="39" t="s">
        <v>3056</v>
      </c>
      <c r="G2486" s="44">
        <v>0.2</v>
      </c>
      <c r="H2486" s="39" t="s">
        <v>101</v>
      </c>
      <c r="I2486" s="39" t="s">
        <v>102</v>
      </c>
      <c r="J2486" s="41">
        <v>3000</v>
      </c>
      <c r="K2486" s="42">
        <v>21.4</v>
      </c>
      <c r="L2486" s="43"/>
      <c r="M2486" s="43">
        <f>L2486*K2486</f>
        <v>0</v>
      </c>
      <c r="N2486" s="35">
        <v>4690368022989</v>
      </c>
    </row>
    <row r="2487" spans="1:14" ht="24" customHeight="1" outlineLevel="3" x14ac:dyDescent="0.2">
      <c r="A2487" s="45">
        <v>15612</v>
      </c>
      <c r="B2487" s="37" t="str">
        <f>HYPERLINK("http://sedek.ru/upload/iblock/c23/astra_sandra.jpg","фото")</f>
        <v>фото</v>
      </c>
      <c r="C2487" s="38"/>
      <c r="D2487" s="38"/>
      <c r="E2487" s="39"/>
      <c r="F2487" s="39" t="s">
        <v>3057</v>
      </c>
      <c r="G2487" s="44">
        <v>0.2</v>
      </c>
      <c r="H2487" s="39" t="s">
        <v>101</v>
      </c>
      <c r="I2487" s="39" t="s">
        <v>102</v>
      </c>
      <c r="J2487" s="41">
        <v>3000</v>
      </c>
      <c r="K2487" s="42">
        <v>21.4</v>
      </c>
      <c r="L2487" s="43"/>
      <c r="M2487" s="43">
        <f>L2487*K2487</f>
        <v>0</v>
      </c>
      <c r="N2487" s="35">
        <v>4607116268483</v>
      </c>
    </row>
    <row r="2488" spans="1:14" ht="24" customHeight="1" outlineLevel="3" x14ac:dyDescent="0.2">
      <c r="A2488" s="45">
        <v>16191</v>
      </c>
      <c r="B2488" s="37" t="str">
        <f>HYPERLINK("http://www.sedek.ru/upload/iblock/208/astra_santa_lyuchiya.jpg","фото")</f>
        <v>фото</v>
      </c>
      <c r="C2488" s="38"/>
      <c r="D2488" s="38"/>
      <c r="E2488" s="39"/>
      <c r="F2488" s="39" t="s">
        <v>3058</v>
      </c>
      <c r="G2488" s="44">
        <v>0.2</v>
      </c>
      <c r="H2488" s="39" t="s">
        <v>101</v>
      </c>
      <c r="I2488" s="39" t="s">
        <v>102</v>
      </c>
      <c r="J2488" s="41">
        <v>3000</v>
      </c>
      <c r="K2488" s="42">
        <v>21.4</v>
      </c>
      <c r="L2488" s="43"/>
      <c r="M2488" s="43">
        <f>L2488*K2488</f>
        <v>0</v>
      </c>
      <c r="N2488" s="35">
        <v>4607116269534</v>
      </c>
    </row>
    <row r="2489" spans="1:14" ht="24" customHeight="1" outlineLevel="3" x14ac:dyDescent="0.2">
      <c r="A2489" s="45">
        <v>15721</v>
      </c>
      <c r="B2489" s="37" t="str">
        <f>HYPERLINK("http://sedek.ru/upload/iblock/cf0/astra_sapfirovoe_plamya.jpg","фото")</f>
        <v>фото</v>
      </c>
      <c r="C2489" s="38"/>
      <c r="D2489" s="38"/>
      <c r="E2489" s="39"/>
      <c r="F2489" s="39" t="s">
        <v>3059</v>
      </c>
      <c r="G2489" s="44">
        <v>0.2</v>
      </c>
      <c r="H2489" s="39" t="s">
        <v>101</v>
      </c>
      <c r="I2489" s="39" t="s">
        <v>102</v>
      </c>
      <c r="J2489" s="41">
        <v>3000</v>
      </c>
      <c r="K2489" s="42">
        <v>23.3</v>
      </c>
      <c r="L2489" s="43"/>
      <c r="M2489" s="43">
        <f>L2489*K2489</f>
        <v>0</v>
      </c>
      <c r="N2489" s="35">
        <v>4607116262986</v>
      </c>
    </row>
    <row r="2490" spans="1:14" ht="24" customHeight="1" outlineLevel="3" x14ac:dyDescent="0.2">
      <c r="A2490" s="45">
        <v>16074</v>
      </c>
      <c r="B2490" s="37" t="str">
        <f>HYPERLINK("http://sedek.ru/upload/iblock/f8b/astra_sara_bernar.jpg","фото")</f>
        <v>фото</v>
      </c>
      <c r="C2490" s="38"/>
      <c r="D2490" s="38"/>
      <c r="E2490" s="39"/>
      <c r="F2490" s="39" t="s">
        <v>3060</v>
      </c>
      <c r="G2490" s="44">
        <v>0.2</v>
      </c>
      <c r="H2490" s="39" t="s">
        <v>101</v>
      </c>
      <c r="I2490" s="39" t="s">
        <v>102</v>
      </c>
      <c r="J2490" s="41">
        <v>3000</v>
      </c>
      <c r="K2490" s="42">
        <v>21.4</v>
      </c>
      <c r="L2490" s="43"/>
      <c r="M2490" s="43">
        <f>L2490*K2490</f>
        <v>0</v>
      </c>
      <c r="N2490" s="35">
        <v>4607116268346</v>
      </c>
    </row>
    <row r="2491" spans="1:14" ht="24" customHeight="1" outlineLevel="3" x14ac:dyDescent="0.2">
      <c r="A2491" s="45">
        <v>16473</v>
      </c>
      <c r="B2491" s="37" t="str">
        <f>HYPERLINK("http://sedek.ru/upload/iblock/bbc/astra_snegurochka_korolevskaya.jpg","фото")</f>
        <v>фото</v>
      </c>
      <c r="C2491" s="38"/>
      <c r="D2491" s="38"/>
      <c r="E2491" s="39"/>
      <c r="F2491" s="39" t="s">
        <v>3061</v>
      </c>
      <c r="G2491" s="44">
        <v>0.2</v>
      </c>
      <c r="H2491" s="39" t="s">
        <v>101</v>
      </c>
      <c r="I2491" s="39" t="s">
        <v>102</v>
      </c>
      <c r="J2491" s="41">
        <v>3000</v>
      </c>
      <c r="K2491" s="42">
        <v>24.9</v>
      </c>
      <c r="L2491" s="43"/>
      <c r="M2491" s="43">
        <f>L2491*K2491</f>
        <v>0</v>
      </c>
      <c r="N2491" s="35">
        <v>4607116269589</v>
      </c>
    </row>
    <row r="2492" spans="1:14" ht="24" customHeight="1" outlineLevel="3" x14ac:dyDescent="0.2">
      <c r="A2492" s="45">
        <v>16070</v>
      </c>
      <c r="B2492" s="37" t="str">
        <f>HYPERLINK("http://sedek.ru/upload/iblock/5ea/astra_snezhnaya_koroleva.jpg","фото")</f>
        <v>фото</v>
      </c>
      <c r="C2492" s="38"/>
      <c r="D2492" s="38"/>
      <c r="E2492" s="39"/>
      <c r="F2492" s="39" t="s">
        <v>3062</v>
      </c>
      <c r="G2492" s="44">
        <v>0.1</v>
      </c>
      <c r="H2492" s="39" t="s">
        <v>101</v>
      </c>
      <c r="I2492" s="39" t="s">
        <v>102</v>
      </c>
      <c r="J2492" s="41">
        <v>3000</v>
      </c>
      <c r="K2492" s="42">
        <v>21.4</v>
      </c>
      <c r="L2492" s="43"/>
      <c r="M2492" s="43">
        <f>L2492*K2492</f>
        <v>0</v>
      </c>
      <c r="N2492" s="35">
        <v>4607116263013</v>
      </c>
    </row>
    <row r="2493" spans="1:14" ht="24" customHeight="1" outlineLevel="3" x14ac:dyDescent="0.2">
      <c r="A2493" s="45">
        <v>17102</v>
      </c>
      <c r="B2493" s="37" t="str">
        <f>HYPERLINK("http://sedek.ru/upload/iblock/700/astra_snezhnye_vershiny.jpg","фото")</f>
        <v>фото</v>
      </c>
      <c r="C2493" s="38"/>
      <c r="D2493" s="38"/>
      <c r="E2493" s="39"/>
      <c r="F2493" s="39" t="s">
        <v>3063</v>
      </c>
      <c r="G2493" s="44">
        <v>0.2</v>
      </c>
      <c r="H2493" s="39" t="s">
        <v>101</v>
      </c>
      <c r="I2493" s="39" t="s">
        <v>102</v>
      </c>
      <c r="J2493" s="41">
        <v>3000</v>
      </c>
      <c r="K2493" s="42">
        <v>21.4</v>
      </c>
      <c r="L2493" s="43"/>
      <c r="M2493" s="43">
        <f>L2493*K2493</f>
        <v>0</v>
      </c>
      <c r="N2493" s="35">
        <v>4690368022934</v>
      </c>
    </row>
    <row r="2494" spans="1:14" ht="24" customHeight="1" outlineLevel="3" x14ac:dyDescent="0.2">
      <c r="A2494" s="45">
        <v>13496</v>
      </c>
      <c r="B2494" s="37" t="str">
        <f>HYPERLINK("http://sedek.ru/upload/iblock/1ed/astra_sonata.jpg","фото")</f>
        <v>фото</v>
      </c>
      <c r="C2494" s="38"/>
      <c r="D2494" s="38"/>
      <c r="E2494" s="39"/>
      <c r="F2494" s="39" t="s">
        <v>3064</v>
      </c>
      <c r="G2494" s="44">
        <v>0.2</v>
      </c>
      <c r="H2494" s="39" t="s">
        <v>101</v>
      </c>
      <c r="I2494" s="39" t="s">
        <v>102</v>
      </c>
      <c r="J2494" s="41">
        <v>3000</v>
      </c>
      <c r="K2494" s="42">
        <v>24.9</v>
      </c>
      <c r="L2494" s="43"/>
      <c r="M2494" s="43">
        <f>L2494*K2494</f>
        <v>0</v>
      </c>
      <c r="N2494" s="35">
        <v>4607116263020</v>
      </c>
    </row>
    <row r="2495" spans="1:14" ht="24" customHeight="1" outlineLevel="3" x14ac:dyDescent="0.2">
      <c r="A2495" s="45">
        <v>16543</v>
      </c>
      <c r="B2495" s="37" t="str">
        <f>HYPERLINK("http://www.sedek.ru/upload/iblock/a1b/tsvetok_astra_sofochka_pomponnaya_golubaya.jpg","фото")</f>
        <v>фото</v>
      </c>
      <c r="C2495" s="38"/>
      <c r="D2495" s="38"/>
      <c r="E2495" s="39"/>
      <c r="F2495" s="39" t="s">
        <v>3065</v>
      </c>
      <c r="G2495" s="44">
        <v>0.2</v>
      </c>
      <c r="H2495" s="39" t="s">
        <v>101</v>
      </c>
      <c r="I2495" s="39" t="s">
        <v>102</v>
      </c>
      <c r="J2495" s="41">
        <v>3000</v>
      </c>
      <c r="K2495" s="42">
        <v>21.4</v>
      </c>
      <c r="L2495" s="43"/>
      <c r="M2495" s="43">
        <f>L2495*K2495</f>
        <v>0</v>
      </c>
      <c r="N2495" s="35">
        <v>4607116268216</v>
      </c>
    </row>
    <row r="2496" spans="1:14" ht="24" customHeight="1" outlineLevel="3" x14ac:dyDescent="0.2">
      <c r="A2496" s="45">
        <v>14072</v>
      </c>
      <c r="B2496" s="37" t="str">
        <f>HYPERLINK("http://sedek.ru/upload/iblock/3bf/astra_sperantsa.jpg","фото")</f>
        <v>фото</v>
      </c>
      <c r="C2496" s="38"/>
      <c r="D2496" s="38"/>
      <c r="E2496" s="39"/>
      <c r="F2496" s="39" t="s">
        <v>3066</v>
      </c>
      <c r="G2496" s="54">
        <v>0.25</v>
      </c>
      <c r="H2496" s="39" t="s">
        <v>101</v>
      </c>
      <c r="I2496" s="39" t="s">
        <v>102</v>
      </c>
      <c r="J2496" s="41">
        <v>3000</v>
      </c>
      <c r="K2496" s="42">
        <v>25.2</v>
      </c>
      <c r="L2496" s="43"/>
      <c r="M2496" s="43">
        <f>L2496*K2496</f>
        <v>0</v>
      </c>
      <c r="N2496" s="35">
        <v>4607116263037</v>
      </c>
    </row>
    <row r="2497" spans="1:14" ht="24" customHeight="1" outlineLevel="3" x14ac:dyDescent="0.2">
      <c r="A2497" s="45">
        <v>14514</v>
      </c>
      <c r="B2497" s="37" t="str">
        <f>HYPERLINK("http://www.sedek.ru/upload/iblock/2a4/astra_stsilla_khudozhestvennaya_rozovo_lilovaya.JPG","фото")</f>
        <v>фото</v>
      </c>
      <c r="C2497" s="38"/>
      <c r="D2497" s="38"/>
      <c r="E2497" s="39"/>
      <c r="F2497" s="39" t="s">
        <v>3067</v>
      </c>
      <c r="G2497" s="44">
        <v>0.2</v>
      </c>
      <c r="H2497" s="39" t="s">
        <v>101</v>
      </c>
      <c r="I2497" s="39" t="s">
        <v>102</v>
      </c>
      <c r="J2497" s="41">
        <v>3000</v>
      </c>
      <c r="K2497" s="42">
        <v>21.4</v>
      </c>
      <c r="L2497" s="43"/>
      <c r="M2497" s="43">
        <f>L2497*K2497</f>
        <v>0</v>
      </c>
      <c r="N2497" s="35">
        <v>4607116268261</v>
      </c>
    </row>
    <row r="2498" spans="1:14" ht="24" customHeight="1" outlineLevel="3" x14ac:dyDescent="0.2">
      <c r="A2498" s="45">
        <v>14528</v>
      </c>
      <c r="B2498" s="37" t="str">
        <f>HYPERLINK("http://sedek.ru/upload/iblock/0b3/astra_tarantella_smes.jpg","фото")</f>
        <v>фото</v>
      </c>
      <c r="C2498" s="38"/>
      <c r="D2498" s="38"/>
      <c r="E2498" s="39"/>
      <c r="F2498" s="39" t="s">
        <v>3068</v>
      </c>
      <c r="G2498" s="44">
        <v>0.1</v>
      </c>
      <c r="H2498" s="39" t="s">
        <v>101</v>
      </c>
      <c r="I2498" s="39" t="s">
        <v>102</v>
      </c>
      <c r="J2498" s="41">
        <v>3000</v>
      </c>
      <c r="K2498" s="42">
        <v>25.1</v>
      </c>
      <c r="L2498" s="43"/>
      <c r="M2498" s="43">
        <f>L2498*K2498</f>
        <v>0</v>
      </c>
      <c r="N2498" s="35">
        <v>4607116263044</v>
      </c>
    </row>
    <row r="2499" spans="1:14" ht="24" customHeight="1" outlineLevel="3" x14ac:dyDescent="0.2">
      <c r="A2499" s="45">
        <v>14290</v>
      </c>
      <c r="B2499" s="37" t="str">
        <f>HYPERLINK("http://sedek.ru/upload/iblock/6d8/astra_traviata.jpg","фото")</f>
        <v>фото</v>
      </c>
      <c r="C2499" s="38"/>
      <c r="D2499" s="38"/>
      <c r="E2499" s="39"/>
      <c r="F2499" s="39" t="s">
        <v>3069</v>
      </c>
      <c r="G2499" s="44">
        <v>0.2</v>
      </c>
      <c r="H2499" s="39" t="s">
        <v>101</v>
      </c>
      <c r="I2499" s="39" t="s">
        <v>102</v>
      </c>
      <c r="J2499" s="41">
        <v>3000</v>
      </c>
      <c r="K2499" s="42">
        <v>21.4</v>
      </c>
      <c r="L2499" s="43"/>
      <c r="M2499" s="43">
        <f>L2499*K2499</f>
        <v>0</v>
      </c>
      <c r="N2499" s="35">
        <v>4607116268490</v>
      </c>
    </row>
    <row r="2500" spans="1:14" ht="24" customHeight="1" outlineLevel="3" x14ac:dyDescent="0.2">
      <c r="A2500" s="45">
        <v>15079</v>
      </c>
      <c r="B2500" s="37" t="str">
        <f>HYPERLINK("http://sedek.ru/upload/iblock/bb9/astra_tyan_shanskaya_krasavitsa.jpg","фото")</f>
        <v>фото</v>
      </c>
      <c r="C2500" s="38"/>
      <c r="D2500" s="38"/>
      <c r="E2500" s="39"/>
      <c r="F2500" s="39" t="s">
        <v>3070</v>
      </c>
      <c r="G2500" s="44">
        <v>0.2</v>
      </c>
      <c r="H2500" s="39" t="s">
        <v>101</v>
      </c>
      <c r="I2500" s="39" t="s">
        <v>102</v>
      </c>
      <c r="J2500" s="41">
        <v>3000</v>
      </c>
      <c r="K2500" s="42">
        <v>25.2</v>
      </c>
      <c r="L2500" s="43"/>
      <c r="M2500" s="43">
        <f>L2500*K2500</f>
        <v>0</v>
      </c>
      <c r="N2500" s="35">
        <v>4607149402007</v>
      </c>
    </row>
    <row r="2501" spans="1:14" ht="24" customHeight="1" outlineLevel="3" x14ac:dyDescent="0.2">
      <c r="A2501" s="45">
        <v>13938</v>
      </c>
      <c r="B2501" s="37" t="str">
        <f>HYPERLINK("http://sedek.ru/upload/iblock/fd2/astra_unikum_smes.jpg","фото")</f>
        <v>фото</v>
      </c>
      <c r="C2501" s="38"/>
      <c r="D2501" s="38"/>
      <c r="E2501" s="39"/>
      <c r="F2501" s="39" t="s">
        <v>3071</v>
      </c>
      <c r="G2501" s="44">
        <v>0.2</v>
      </c>
      <c r="H2501" s="39" t="s">
        <v>101</v>
      </c>
      <c r="I2501" s="39" t="s">
        <v>102</v>
      </c>
      <c r="J2501" s="41">
        <v>3000</v>
      </c>
      <c r="K2501" s="42">
        <v>21.4</v>
      </c>
      <c r="L2501" s="43"/>
      <c r="M2501" s="43">
        <f>L2501*K2501</f>
        <v>0</v>
      </c>
      <c r="N2501" s="35">
        <v>4607116263051</v>
      </c>
    </row>
    <row r="2502" spans="1:14" ht="24" customHeight="1" outlineLevel="3" x14ac:dyDescent="0.2">
      <c r="A2502" s="45">
        <v>15689</v>
      </c>
      <c r="B2502" s="37" t="str">
        <f>HYPERLINK("http://sedek.ru/upload/iblock/38b/astra_utrennyaya_zvezda.jpg","фото")</f>
        <v>фото</v>
      </c>
      <c r="C2502" s="38"/>
      <c r="D2502" s="38"/>
      <c r="E2502" s="39"/>
      <c r="F2502" s="39" t="s">
        <v>3072</v>
      </c>
      <c r="G2502" s="44">
        <v>0.2</v>
      </c>
      <c r="H2502" s="39" t="s">
        <v>101</v>
      </c>
      <c r="I2502" s="39" t="s">
        <v>102</v>
      </c>
      <c r="J2502" s="41">
        <v>3000</v>
      </c>
      <c r="K2502" s="42">
        <v>21.4</v>
      </c>
      <c r="L2502" s="43"/>
      <c r="M2502" s="43">
        <f>L2502*K2502</f>
        <v>0</v>
      </c>
      <c r="N2502" s="35">
        <v>4607116268711</v>
      </c>
    </row>
    <row r="2503" spans="1:14" ht="24" customHeight="1" outlineLevel="3" x14ac:dyDescent="0.2">
      <c r="A2503" s="45">
        <v>13958</v>
      </c>
      <c r="B2503" s="37" t="str">
        <f>HYPERLINK("http://www.sedek.ru/upload/iblock/733/astra_utro_tumannoe_pionovidnaya_sirenevo_fiol_.jpg","Фото")</f>
        <v>Фото</v>
      </c>
      <c r="C2503" s="38"/>
      <c r="D2503" s="38"/>
      <c r="E2503" s="39"/>
      <c r="F2503" s="39" t="s">
        <v>3073</v>
      </c>
      <c r="G2503" s="44">
        <v>0.2</v>
      </c>
      <c r="H2503" s="39" t="s">
        <v>101</v>
      </c>
      <c r="I2503" s="39" t="s">
        <v>102</v>
      </c>
      <c r="J2503" s="41">
        <v>3000</v>
      </c>
      <c r="K2503" s="42">
        <v>21.4</v>
      </c>
      <c r="L2503" s="43"/>
      <c r="M2503" s="43">
        <f>L2503*K2503</f>
        <v>0</v>
      </c>
      <c r="N2503" s="35">
        <v>4607149401024</v>
      </c>
    </row>
    <row r="2504" spans="1:14" ht="24" customHeight="1" outlineLevel="3" x14ac:dyDescent="0.2">
      <c r="A2504" s="45">
        <v>14150</v>
      </c>
      <c r="B2504" s="37" t="str">
        <f>HYPERLINK("http://sedek.ru/upload/iblock/5ca/astra_flamingo.jpg","фото")</f>
        <v>фото</v>
      </c>
      <c r="C2504" s="38"/>
      <c r="D2504" s="38"/>
      <c r="E2504" s="39"/>
      <c r="F2504" s="39" t="s">
        <v>3074</v>
      </c>
      <c r="G2504" s="44">
        <v>0.2</v>
      </c>
      <c r="H2504" s="39" t="s">
        <v>101</v>
      </c>
      <c r="I2504" s="39" t="s">
        <v>102</v>
      </c>
      <c r="J2504" s="41">
        <v>3000</v>
      </c>
      <c r="K2504" s="42">
        <v>23.3</v>
      </c>
      <c r="L2504" s="43"/>
      <c r="M2504" s="43">
        <f>L2504*K2504</f>
        <v>0</v>
      </c>
      <c r="N2504" s="35">
        <v>4607149402014</v>
      </c>
    </row>
    <row r="2505" spans="1:14" ht="24" customHeight="1" outlineLevel="3" x14ac:dyDescent="0.2">
      <c r="A2505" s="45">
        <v>15856</v>
      </c>
      <c r="B2505" s="37" t="str">
        <f>HYPERLINK("http://sedek.ru/upload/iblock/658/astra_fokstrot.jpg","фото")</f>
        <v>фото</v>
      </c>
      <c r="C2505" s="38"/>
      <c r="D2505" s="38"/>
      <c r="E2505" s="39"/>
      <c r="F2505" s="39" t="s">
        <v>3075</v>
      </c>
      <c r="G2505" s="44">
        <v>0.2</v>
      </c>
      <c r="H2505" s="39" t="s">
        <v>101</v>
      </c>
      <c r="I2505" s="39" t="s">
        <v>102</v>
      </c>
      <c r="J2505" s="41">
        <v>3000</v>
      </c>
      <c r="K2505" s="42">
        <v>21.4</v>
      </c>
      <c r="L2505" s="43"/>
      <c r="M2505" s="43">
        <f>L2505*K2505</f>
        <v>0</v>
      </c>
      <c r="N2505" s="35">
        <v>4607116263075</v>
      </c>
    </row>
    <row r="2506" spans="1:14" ht="24" customHeight="1" outlineLevel="3" x14ac:dyDescent="0.2">
      <c r="A2506" s="45">
        <v>17107</v>
      </c>
      <c r="B2506" s="37" t="str">
        <f>HYPERLINK("http://sedek.ru/upload/iblock/209/astra_khelga.jpg","фото")</f>
        <v>фото</v>
      </c>
      <c r="C2506" s="38"/>
      <c r="D2506" s="38"/>
      <c r="E2506" s="39"/>
      <c r="F2506" s="39" t="s">
        <v>3076</v>
      </c>
      <c r="G2506" s="44">
        <v>0.2</v>
      </c>
      <c r="H2506" s="39" t="s">
        <v>101</v>
      </c>
      <c r="I2506" s="39" t="s">
        <v>102</v>
      </c>
      <c r="J2506" s="41">
        <v>3000</v>
      </c>
      <c r="K2506" s="42">
        <v>21.4</v>
      </c>
      <c r="L2506" s="43"/>
      <c r="M2506" s="43">
        <f>L2506*K2506</f>
        <v>0</v>
      </c>
      <c r="N2506" s="35">
        <v>4690368022972</v>
      </c>
    </row>
    <row r="2507" spans="1:14" ht="24" customHeight="1" outlineLevel="3" x14ac:dyDescent="0.2">
      <c r="A2507" s="45">
        <v>14357</v>
      </c>
      <c r="B2507" s="37" t="str">
        <f>HYPERLINK("http://sedek.ru/upload/iblock/d8d/astra_tsirtseya.jpg","фото")</f>
        <v>фото</v>
      </c>
      <c r="C2507" s="38"/>
      <c r="D2507" s="38"/>
      <c r="E2507" s="39"/>
      <c r="F2507" s="39" t="s">
        <v>3077</v>
      </c>
      <c r="G2507" s="44">
        <v>0.2</v>
      </c>
      <c r="H2507" s="39" t="s">
        <v>101</v>
      </c>
      <c r="I2507" s="39" t="s">
        <v>102</v>
      </c>
      <c r="J2507" s="41">
        <v>3000</v>
      </c>
      <c r="K2507" s="42">
        <v>21.4</v>
      </c>
      <c r="L2507" s="43"/>
      <c r="M2507" s="43">
        <f>L2507*K2507</f>
        <v>0</v>
      </c>
      <c r="N2507" s="35">
        <v>4607116268513</v>
      </c>
    </row>
    <row r="2508" spans="1:14" ht="24" customHeight="1" outlineLevel="3" x14ac:dyDescent="0.2">
      <c r="A2508" s="45">
        <v>13478</v>
      </c>
      <c r="B2508" s="37" t="str">
        <f>HYPERLINK("http://www.sedek.ru/upload/iblock/753/astra_shanel_pionovidnaya_sirebristo_sirenevaya.jpg","Фото")</f>
        <v>Фото</v>
      </c>
      <c r="C2508" s="38"/>
      <c r="D2508" s="38"/>
      <c r="E2508" s="39"/>
      <c r="F2508" s="39" t="s">
        <v>3078</v>
      </c>
      <c r="G2508" s="44">
        <v>0.2</v>
      </c>
      <c r="H2508" s="39"/>
      <c r="I2508" s="39" t="s">
        <v>102</v>
      </c>
      <c r="J2508" s="41">
        <v>3000</v>
      </c>
      <c r="K2508" s="42">
        <v>22.1</v>
      </c>
      <c r="L2508" s="43"/>
      <c r="M2508" s="43">
        <f>L2508*K2508</f>
        <v>0</v>
      </c>
      <c r="N2508" s="35">
        <v>4607116268131</v>
      </c>
    </row>
    <row r="2509" spans="1:14" ht="24" customHeight="1" outlineLevel="3" x14ac:dyDescent="0.2">
      <c r="A2509" s="45">
        <v>14819</v>
      </c>
      <c r="B2509" s="37" t="str">
        <f>HYPERLINK("http://sedek.ru/upload/iblock/c2c/astra_shinshila.jpg","фото")</f>
        <v>фото</v>
      </c>
      <c r="C2509" s="38"/>
      <c r="D2509" s="38"/>
      <c r="E2509" s="39"/>
      <c r="F2509" s="39" t="s">
        <v>3079</v>
      </c>
      <c r="G2509" s="44">
        <v>0.2</v>
      </c>
      <c r="H2509" s="39" t="s">
        <v>101</v>
      </c>
      <c r="I2509" s="39" t="s">
        <v>102</v>
      </c>
      <c r="J2509" s="41">
        <v>3000</v>
      </c>
      <c r="K2509" s="42">
        <v>24.9</v>
      </c>
      <c r="L2509" s="43"/>
      <c r="M2509" s="43">
        <f>L2509*K2509</f>
        <v>0</v>
      </c>
      <c r="N2509" s="35">
        <v>4607116263082</v>
      </c>
    </row>
    <row r="2510" spans="1:14" ht="24" customHeight="1" outlineLevel="3" x14ac:dyDescent="0.2">
      <c r="A2510" s="45">
        <v>17078</v>
      </c>
      <c r="B2510" s="37" t="str">
        <f>HYPERLINK("http://sedek.ru/upload/iblock/a95/astra_evrika_alpiyskaya.jpg","фото")</f>
        <v>фото</v>
      </c>
      <c r="C2510" s="38"/>
      <c r="D2510" s="38"/>
      <c r="E2510" s="39"/>
      <c r="F2510" s="39" t="s">
        <v>3080</v>
      </c>
      <c r="G2510" s="44">
        <v>0.1</v>
      </c>
      <c r="H2510" s="39" t="s">
        <v>101</v>
      </c>
      <c r="I2510" s="39" t="s">
        <v>102</v>
      </c>
      <c r="J2510" s="41">
        <v>3000</v>
      </c>
      <c r="K2510" s="42">
        <v>33.1</v>
      </c>
      <c r="L2510" s="43"/>
      <c r="M2510" s="43">
        <f>L2510*K2510</f>
        <v>0</v>
      </c>
      <c r="N2510" s="35">
        <v>4690368023269</v>
      </c>
    </row>
    <row r="2511" spans="1:14" ht="24" customHeight="1" outlineLevel="3" x14ac:dyDescent="0.2">
      <c r="A2511" s="45">
        <v>14004</v>
      </c>
      <c r="B2511" s="37" t="str">
        <f>HYPERLINK("http://sedek.ru/upload/iblock/147/astra_eleonora.jpg","фото")</f>
        <v>фото</v>
      </c>
      <c r="C2511" s="38"/>
      <c r="D2511" s="38"/>
      <c r="E2511" s="39"/>
      <c r="F2511" s="39" t="s">
        <v>3081</v>
      </c>
      <c r="G2511" s="44">
        <v>0.2</v>
      </c>
      <c r="H2511" s="39" t="s">
        <v>101</v>
      </c>
      <c r="I2511" s="39" t="s">
        <v>102</v>
      </c>
      <c r="J2511" s="41">
        <v>3000</v>
      </c>
      <c r="K2511" s="42">
        <v>21.4</v>
      </c>
      <c r="L2511" s="43"/>
      <c r="M2511" s="43">
        <f>L2511*K2511</f>
        <v>0</v>
      </c>
      <c r="N2511" s="35">
        <v>4607116268773</v>
      </c>
    </row>
    <row r="2512" spans="1:14" ht="24" customHeight="1" outlineLevel="3" x14ac:dyDescent="0.2">
      <c r="A2512" s="45">
        <v>15422</v>
      </c>
      <c r="B2512" s="37" t="str">
        <f>HYPERLINK("http://sedek.ru/upload/iblock/449/astra_elvira.jpg","фото")</f>
        <v>фото</v>
      </c>
      <c r="C2512" s="38"/>
      <c r="D2512" s="38"/>
      <c r="E2512" s="39"/>
      <c r="F2512" s="39" t="s">
        <v>3082</v>
      </c>
      <c r="G2512" s="44">
        <v>0.2</v>
      </c>
      <c r="H2512" s="39" t="s">
        <v>101</v>
      </c>
      <c r="I2512" s="39" t="s">
        <v>102</v>
      </c>
      <c r="J2512" s="41">
        <v>3000</v>
      </c>
      <c r="K2512" s="42">
        <v>21.4</v>
      </c>
      <c r="L2512" s="43"/>
      <c r="M2512" s="43">
        <f>L2512*K2512</f>
        <v>0</v>
      </c>
      <c r="N2512" s="35">
        <v>4607116268155</v>
      </c>
    </row>
    <row r="2513" spans="1:14" ht="24" customHeight="1" outlineLevel="3" x14ac:dyDescent="0.2">
      <c r="A2513" s="45">
        <v>17108</v>
      </c>
      <c r="B2513" s="37" t="str">
        <f>HYPERLINK("http://sedek.ru/upload/iblock/18f/astra_emma.jpg","фото")</f>
        <v>фото</v>
      </c>
      <c r="C2513" s="38"/>
      <c r="D2513" s="38"/>
      <c r="E2513" s="39"/>
      <c r="F2513" s="39" t="s">
        <v>3083</v>
      </c>
      <c r="G2513" s="44">
        <v>0.2</v>
      </c>
      <c r="H2513" s="39" t="s">
        <v>101</v>
      </c>
      <c r="I2513" s="39" t="s">
        <v>102</v>
      </c>
      <c r="J2513" s="41">
        <v>3000</v>
      </c>
      <c r="K2513" s="42">
        <v>21.4</v>
      </c>
      <c r="L2513" s="43"/>
      <c r="M2513" s="43">
        <f>L2513*K2513</f>
        <v>0</v>
      </c>
      <c r="N2513" s="35">
        <v>4690368023368</v>
      </c>
    </row>
    <row r="2514" spans="1:14" ht="24" customHeight="1" outlineLevel="3" x14ac:dyDescent="0.2">
      <c r="A2514" s="45">
        <v>14659</v>
      </c>
      <c r="B2514" s="37" t="str">
        <f>HYPERLINK("http://www.sedek.ru/upload/iblock/d61/astra_esmeralda.jpg","фото")</f>
        <v>фото</v>
      </c>
      <c r="C2514" s="38"/>
      <c r="D2514" s="38"/>
      <c r="E2514" s="39"/>
      <c r="F2514" s="39" t="s">
        <v>3084</v>
      </c>
      <c r="G2514" s="44">
        <v>0.2</v>
      </c>
      <c r="H2514" s="39" t="s">
        <v>101</v>
      </c>
      <c r="I2514" s="39" t="s">
        <v>102</v>
      </c>
      <c r="J2514" s="41">
        <v>3000</v>
      </c>
      <c r="K2514" s="42">
        <v>24.9</v>
      </c>
      <c r="L2514" s="43"/>
      <c r="M2514" s="43">
        <f>L2514*K2514</f>
        <v>0</v>
      </c>
      <c r="N2514" s="35">
        <v>4607116263099</v>
      </c>
    </row>
    <row r="2515" spans="1:14" ht="24" customHeight="1" outlineLevel="3" x14ac:dyDescent="0.2">
      <c r="A2515" s="45">
        <v>15702</v>
      </c>
      <c r="B2515" s="37" t="str">
        <f>HYPERLINK("http://sedek.ru/upload/iblock/c49/astra_yuliya.jpg","фото")</f>
        <v>фото</v>
      </c>
      <c r="C2515" s="38"/>
      <c r="D2515" s="38"/>
      <c r="E2515" s="39"/>
      <c r="F2515" s="39" t="s">
        <v>3085</v>
      </c>
      <c r="G2515" s="44">
        <v>0.2</v>
      </c>
      <c r="H2515" s="39" t="s">
        <v>101</v>
      </c>
      <c r="I2515" s="39" t="s">
        <v>102</v>
      </c>
      <c r="J2515" s="41">
        <v>3000</v>
      </c>
      <c r="K2515" s="42">
        <v>24.9</v>
      </c>
      <c r="L2515" s="43"/>
      <c r="M2515" s="43">
        <f>L2515*K2515</f>
        <v>0</v>
      </c>
      <c r="N2515" s="35">
        <v>4607116263105</v>
      </c>
    </row>
    <row r="2516" spans="1:14" ht="24" customHeight="1" outlineLevel="3" x14ac:dyDescent="0.2">
      <c r="A2516" s="45">
        <v>17089</v>
      </c>
      <c r="B2516" s="37" t="str">
        <f>HYPERLINK("http://sedek.ru/upload/iblock/4d2/astra_yunost.jpg","фото")</f>
        <v>фото</v>
      </c>
      <c r="C2516" s="38"/>
      <c r="D2516" s="38"/>
      <c r="E2516" s="39"/>
      <c r="F2516" s="39" t="s">
        <v>3086</v>
      </c>
      <c r="G2516" s="44">
        <v>0.2</v>
      </c>
      <c r="H2516" s="39" t="s">
        <v>101</v>
      </c>
      <c r="I2516" s="39" t="s">
        <v>102</v>
      </c>
      <c r="J2516" s="41">
        <v>3000</v>
      </c>
      <c r="K2516" s="42">
        <v>21.4</v>
      </c>
      <c r="L2516" s="43"/>
      <c r="M2516" s="43">
        <f>L2516*K2516</f>
        <v>0</v>
      </c>
      <c r="N2516" s="35">
        <v>4690368022569</v>
      </c>
    </row>
    <row r="2517" spans="1:14" ht="36" customHeight="1" outlineLevel="3" x14ac:dyDescent="0.2">
      <c r="A2517" s="45">
        <v>15511</v>
      </c>
      <c r="B2517" s="37" t="str">
        <f>HYPERLINK("http://sedek.ru/upload/iblock/c3d/astra_yabluneva.jpg","фото")</f>
        <v>фото</v>
      </c>
      <c r="C2517" s="38"/>
      <c r="D2517" s="38"/>
      <c r="E2517" s="39"/>
      <c r="F2517" s="39" t="s">
        <v>3087</v>
      </c>
      <c r="G2517" s="44">
        <v>0.2</v>
      </c>
      <c r="H2517" s="39"/>
      <c r="I2517" s="39" t="s">
        <v>102</v>
      </c>
      <c r="J2517" s="41">
        <v>3000</v>
      </c>
      <c r="K2517" s="42">
        <v>24.9</v>
      </c>
      <c r="L2517" s="43"/>
      <c r="M2517" s="43">
        <f>L2517*K2517</f>
        <v>0</v>
      </c>
      <c r="N2517" s="35">
        <v>4607116263112</v>
      </c>
    </row>
    <row r="2518" spans="1:14" ht="24" customHeight="1" outlineLevel="3" x14ac:dyDescent="0.2">
      <c r="A2518" s="45">
        <v>16166</v>
      </c>
      <c r="B2518" s="37" t="str">
        <f>HYPERLINK("http://sedek.ru/upload/iblock/c28/astra_yanina.jpg","фото")</f>
        <v>фото</v>
      </c>
      <c r="C2518" s="38"/>
      <c r="D2518" s="38"/>
      <c r="E2518" s="39"/>
      <c r="F2518" s="39" t="s">
        <v>3088</v>
      </c>
      <c r="G2518" s="44">
        <v>0.1</v>
      </c>
      <c r="H2518" s="39" t="s">
        <v>101</v>
      </c>
      <c r="I2518" s="39" t="s">
        <v>102</v>
      </c>
      <c r="J2518" s="41">
        <v>3000</v>
      </c>
      <c r="K2518" s="42">
        <v>21.4</v>
      </c>
      <c r="L2518" s="43"/>
      <c r="M2518" s="43">
        <f>L2518*K2518</f>
        <v>0</v>
      </c>
      <c r="N2518" s="35">
        <v>4607116263129</v>
      </c>
    </row>
    <row r="2519" spans="1:14" ht="24" customHeight="1" outlineLevel="3" x14ac:dyDescent="0.2">
      <c r="A2519" s="45">
        <v>17082</v>
      </c>
      <c r="B2519" s="37" t="str">
        <f>HYPERLINK("http://sedek.ru/upload/iblock/43c/aubretsiya_amazonka.jpg","фото")</f>
        <v>фото</v>
      </c>
      <c r="C2519" s="38"/>
      <c r="D2519" s="38"/>
      <c r="E2519" s="39"/>
      <c r="F2519" s="39" t="s">
        <v>3089</v>
      </c>
      <c r="G2519" s="44">
        <v>0.1</v>
      </c>
      <c r="H2519" s="39" t="s">
        <v>101</v>
      </c>
      <c r="I2519" s="39" t="s">
        <v>102</v>
      </c>
      <c r="J2519" s="41">
        <v>3000</v>
      </c>
      <c r="K2519" s="42">
        <v>21.4</v>
      </c>
      <c r="L2519" s="43"/>
      <c r="M2519" s="43">
        <f>L2519*K2519</f>
        <v>0</v>
      </c>
      <c r="N2519" s="35">
        <v>4690368022880</v>
      </c>
    </row>
    <row r="2520" spans="1:14" ht="24" customHeight="1" outlineLevel="3" x14ac:dyDescent="0.2">
      <c r="A2520" s="45">
        <v>17083</v>
      </c>
      <c r="B2520" s="37" t="str">
        <f>HYPERLINK("http://sedek.ru/upload/iblock/846/aubretsiya_kseniya.jpg","фото")</f>
        <v>фото</v>
      </c>
      <c r="C2520" s="38"/>
      <c r="D2520" s="38"/>
      <c r="E2520" s="39"/>
      <c r="F2520" s="39" t="s">
        <v>3090</v>
      </c>
      <c r="G2520" s="44">
        <v>0.1</v>
      </c>
      <c r="H2520" s="39" t="s">
        <v>101</v>
      </c>
      <c r="I2520" s="39" t="s">
        <v>102</v>
      </c>
      <c r="J2520" s="41">
        <v>3000</v>
      </c>
      <c r="K2520" s="42">
        <v>24.3</v>
      </c>
      <c r="L2520" s="43"/>
      <c r="M2520" s="43">
        <f>L2520*K2520</f>
        <v>0</v>
      </c>
      <c r="N2520" s="35">
        <v>4690368017596</v>
      </c>
    </row>
    <row r="2521" spans="1:14" ht="36" customHeight="1" outlineLevel="3" x14ac:dyDescent="0.2">
      <c r="A2521" s="45">
        <v>14739</v>
      </c>
      <c r="B2521" s="37" t="str">
        <f>HYPERLINK("http://sedek.ru/upload/iblock/73f/akhilleya_sadovaya_virdzhiniya.jpg","фото")</f>
        <v>фото</v>
      </c>
      <c r="C2521" s="38"/>
      <c r="D2521" s="38"/>
      <c r="E2521" s="39"/>
      <c r="F2521" s="39" t="s">
        <v>3091</v>
      </c>
      <c r="G2521" s="54">
        <v>0.05</v>
      </c>
      <c r="H2521" s="39" t="s">
        <v>101</v>
      </c>
      <c r="I2521" s="39" t="s">
        <v>102</v>
      </c>
      <c r="J2521" s="41">
        <v>3500</v>
      </c>
      <c r="K2521" s="42">
        <v>24.9</v>
      </c>
      <c r="L2521" s="43"/>
      <c r="M2521" s="43">
        <f>L2521*K2521</f>
        <v>0</v>
      </c>
      <c r="N2521" s="35">
        <v>4607116263143</v>
      </c>
    </row>
    <row r="2522" spans="1:14" ht="24" customHeight="1" outlineLevel="3" x14ac:dyDescent="0.2">
      <c r="A2522" s="45">
        <v>15833</v>
      </c>
      <c r="B2522" s="37" t="str">
        <f>HYPERLINK("http://sedek.ru/upload/iblock/740/akhilleya_ptarmika_zhemchuzhina.jpg","фото")</f>
        <v>фото</v>
      </c>
      <c r="C2522" s="38"/>
      <c r="D2522" s="38"/>
      <c r="E2522" s="39"/>
      <c r="F2522" s="39" t="s">
        <v>3092</v>
      </c>
      <c r="G2522" s="44">
        <v>0.1</v>
      </c>
      <c r="H2522" s="39" t="s">
        <v>101</v>
      </c>
      <c r="I2522" s="39" t="s">
        <v>102</v>
      </c>
      <c r="J2522" s="41">
        <v>3500</v>
      </c>
      <c r="K2522" s="42">
        <v>27.4</v>
      </c>
      <c r="L2522" s="43"/>
      <c r="M2522" s="43">
        <f>L2522*K2522</f>
        <v>0</v>
      </c>
      <c r="N2522" s="35">
        <v>4607116263150</v>
      </c>
    </row>
    <row r="2523" spans="1:14" ht="36" customHeight="1" outlineLevel="3" x14ac:dyDescent="0.2">
      <c r="A2523" s="45">
        <v>14868</v>
      </c>
      <c r="B2523" s="37" t="str">
        <f>HYPERLINK("http://sedek.ru/upload/iblock/2c1/bazella_zamorskiy_gost.jpg","фото")</f>
        <v>фото</v>
      </c>
      <c r="C2523" s="38"/>
      <c r="D2523" s="38"/>
      <c r="E2523" s="39"/>
      <c r="F2523" s="39" t="s">
        <v>3093</v>
      </c>
      <c r="G2523" s="54">
        <v>0.25</v>
      </c>
      <c r="H2523" s="39" t="s">
        <v>101</v>
      </c>
      <c r="I2523" s="39" t="s">
        <v>102</v>
      </c>
      <c r="J2523" s="41">
        <v>2000</v>
      </c>
      <c r="K2523" s="42">
        <v>44.5</v>
      </c>
      <c r="L2523" s="43"/>
      <c r="M2523" s="43">
        <f>L2523*K2523</f>
        <v>0</v>
      </c>
      <c r="N2523" s="35">
        <v>4607116263167</v>
      </c>
    </row>
    <row r="2524" spans="1:14" ht="24" customHeight="1" outlineLevel="3" x14ac:dyDescent="0.2">
      <c r="A2524" s="45">
        <v>14576</v>
      </c>
      <c r="B2524" s="37" t="str">
        <f>HYPERLINK("http://sedek.ru/upload/iblock/012/balzamin_sandra.jpg","фото")</f>
        <v>фото</v>
      </c>
      <c r="C2524" s="38"/>
      <c r="D2524" s="38"/>
      <c r="E2524" s="39"/>
      <c r="F2524" s="39" t="s">
        <v>3094</v>
      </c>
      <c r="G2524" s="44">
        <v>0.2</v>
      </c>
      <c r="H2524" s="39" t="s">
        <v>101</v>
      </c>
      <c r="I2524" s="39" t="s">
        <v>102</v>
      </c>
      <c r="J2524" s="41">
        <v>4000</v>
      </c>
      <c r="K2524" s="42">
        <v>21.4</v>
      </c>
      <c r="L2524" s="43"/>
      <c r="M2524" s="43">
        <f>L2524*K2524</f>
        <v>0</v>
      </c>
      <c r="N2524" s="35">
        <v>4607116263181</v>
      </c>
    </row>
    <row r="2525" spans="1:14" ht="24" customHeight="1" outlineLevel="3" x14ac:dyDescent="0.2">
      <c r="A2525" s="45">
        <v>16380</v>
      </c>
      <c r="B2525" s="37" t="str">
        <f>HYPERLINK("http://sedek.ru/upload/iblock/472/balzamin_safari_gibridnyy.jpg","фото")</f>
        <v>фото</v>
      </c>
      <c r="C2525" s="38"/>
      <c r="D2525" s="38"/>
      <c r="E2525" s="39"/>
      <c r="F2525" s="39" t="s">
        <v>3095</v>
      </c>
      <c r="G2525" s="54">
        <v>0.05</v>
      </c>
      <c r="H2525" s="39" t="s">
        <v>101</v>
      </c>
      <c r="I2525" s="39" t="s">
        <v>102</v>
      </c>
      <c r="J2525" s="41">
        <v>4000</v>
      </c>
      <c r="K2525" s="42">
        <v>47.1</v>
      </c>
      <c r="L2525" s="43"/>
      <c r="M2525" s="43">
        <f>L2525*K2525</f>
        <v>0</v>
      </c>
      <c r="N2525" s="35">
        <v>4607149407699</v>
      </c>
    </row>
    <row r="2526" spans="1:14" ht="24" customHeight="1" outlineLevel="3" x14ac:dyDescent="0.2">
      <c r="A2526" s="45">
        <v>16134</v>
      </c>
      <c r="B2526" s="37" t="str">
        <f>HYPERLINK("http://sedek.ru/upload/iblock/91f/balzamin_tom_tam.jpg","фото")</f>
        <v>фото</v>
      </c>
      <c r="C2526" s="38"/>
      <c r="D2526" s="38"/>
      <c r="E2526" s="39"/>
      <c r="F2526" s="39" t="s">
        <v>3096</v>
      </c>
      <c r="G2526" s="44">
        <v>0.2</v>
      </c>
      <c r="H2526" s="39" t="s">
        <v>101</v>
      </c>
      <c r="I2526" s="39" t="s">
        <v>102</v>
      </c>
      <c r="J2526" s="41">
        <v>4000</v>
      </c>
      <c r="K2526" s="42">
        <v>23.2</v>
      </c>
      <c r="L2526" s="43"/>
      <c r="M2526" s="43">
        <f>L2526*K2526</f>
        <v>0</v>
      </c>
      <c r="N2526" s="35">
        <v>4607116263204</v>
      </c>
    </row>
    <row r="2527" spans="1:14" ht="36" customHeight="1" outlineLevel="3" x14ac:dyDescent="0.2">
      <c r="A2527" s="36" t="s">
        <v>3097</v>
      </c>
      <c r="B2527" s="37" t="str">
        <f>HYPERLINK("http://www.sedek.ru/upload/iblock/467/barvinok_bellini_f1.jpg","фото")</f>
        <v>фото</v>
      </c>
      <c r="C2527" s="38"/>
      <c r="D2527" s="38"/>
      <c r="E2527" s="39" t="s">
        <v>3098</v>
      </c>
      <c r="F2527" s="39" t="s">
        <v>3099</v>
      </c>
      <c r="G2527" s="40">
        <v>5</v>
      </c>
      <c r="H2527" s="39" t="s">
        <v>307</v>
      </c>
      <c r="I2527" s="39" t="s">
        <v>102</v>
      </c>
      <c r="J2527" s="41">
        <v>3000</v>
      </c>
      <c r="K2527" s="42">
        <v>53.5</v>
      </c>
      <c r="L2527" s="43"/>
      <c r="M2527" s="43">
        <f>L2527*K2527</f>
        <v>0</v>
      </c>
      <c r="N2527" s="35">
        <v>4690368036832</v>
      </c>
    </row>
    <row r="2528" spans="1:14" ht="24" customHeight="1" outlineLevel="3" x14ac:dyDescent="0.2">
      <c r="A2528" s="36" t="s">
        <v>3100</v>
      </c>
      <c r="B2528" s="37" t="str">
        <f>HYPERLINK("http://www.sedek.ru/upload/iblock/ffe/barvinok_bozhole_f1.jpg","фото")</f>
        <v>фото</v>
      </c>
      <c r="C2528" s="38"/>
      <c r="D2528" s="38"/>
      <c r="E2528" s="39" t="s">
        <v>3098</v>
      </c>
      <c r="F2528" s="39" t="s">
        <v>3101</v>
      </c>
      <c r="G2528" s="40">
        <v>5</v>
      </c>
      <c r="H2528" s="39" t="s">
        <v>307</v>
      </c>
      <c r="I2528" s="39" t="s">
        <v>102</v>
      </c>
      <c r="J2528" s="41">
        <v>3000</v>
      </c>
      <c r="K2528" s="42">
        <v>62</v>
      </c>
      <c r="L2528" s="43"/>
      <c r="M2528" s="43">
        <f>L2528*K2528</f>
        <v>0</v>
      </c>
      <c r="N2528" s="35">
        <v>4690368036825</v>
      </c>
    </row>
    <row r="2529" spans="1:14" ht="36" customHeight="1" outlineLevel="3" x14ac:dyDescent="0.2">
      <c r="A2529" s="36" t="s">
        <v>3102</v>
      </c>
      <c r="B2529" s="37" t="str">
        <f>HYPERLINK("http://www.sedek.ru/upload/iblock/c34/barvinok_gran_kryu_f1.jpg","фото")</f>
        <v>фото</v>
      </c>
      <c r="C2529" s="38"/>
      <c r="D2529" s="38"/>
      <c r="E2529" s="39"/>
      <c r="F2529" s="39" t="s">
        <v>3103</v>
      </c>
      <c r="G2529" s="40">
        <v>5</v>
      </c>
      <c r="H2529" s="39" t="s">
        <v>307</v>
      </c>
      <c r="I2529" s="39" t="s">
        <v>102</v>
      </c>
      <c r="J2529" s="41">
        <v>3000</v>
      </c>
      <c r="K2529" s="42">
        <v>62</v>
      </c>
      <c r="L2529" s="43"/>
      <c r="M2529" s="43">
        <f>L2529*K2529</f>
        <v>0</v>
      </c>
      <c r="N2529" s="35">
        <v>4690368036849</v>
      </c>
    </row>
    <row r="2530" spans="1:14" ht="36" customHeight="1" outlineLevel="3" x14ac:dyDescent="0.2">
      <c r="A2530" s="36" t="s">
        <v>3104</v>
      </c>
      <c r="B2530" s="37" t="str">
        <f>HYPERLINK("http://www.sedek.ru/upload/iblock/350/barvinok_pino_nuar_f1.jpg","фото")</f>
        <v>фото</v>
      </c>
      <c r="C2530" s="38"/>
      <c r="D2530" s="38"/>
      <c r="E2530" s="39" t="s">
        <v>3098</v>
      </c>
      <c r="F2530" s="39" t="s">
        <v>3105</v>
      </c>
      <c r="G2530" s="40">
        <v>5</v>
      </c>
      <c r="H2530" s="39" t="s">
        <v>307</v>
      </c>
      <c r="I2530" s="39" t="s">
        <v>102</v>
      </c>
      <c r="J2530" s="41">
        <v>3000</v>
      </c>
      <c r="K2530" s="42">
        <v>62</v>
      </c>
      <c r="L2530" s="43"/>
      <c r="M2530" s="43">
        <f>L2530*K2530</f>
        <v>0</v>
      </c>
      <c r="N2530" s="35">
        <v>4690368036863</v>
      </c>
    </row>
    <row r="2531" spans="1:14" ht="24" customHeight="1" outlineLevel="3" x14ac:dyDescent="0.2">
      <c r="A2531" s="36" t="s">
        <v>3106</v>
      </c>
      <c r="B2531" s="37" t="str">
        <f>HYPERLINK("http://www.sedek.ru/upload/iblock/bb7/barvinok_cherri_dzhus_f1.jpg","фото")</f>
        <v>фото</v>
      </c>
      <c r="C2531" s="38"/>
      <c r="D2531" s="38"/>
      <c r="E2531" s="39" t="s">
        <v>3098</v>
      </c>
      <c r="F2531" s="39" t="s">
        <v>3107</v>
      </c>
      <c r="G2531" s="40">
        <v>5</v>
      </c>
      <c r="H2531" s="39" t="s">
        <v>307</v>
      </c>
      <c r="I2531" s="39" t="s">
        <v>102</v>
      </c>
      <c r="J2531" s="41">
        <v>3000</v>
      </c>
      <c r="K2531" s="42">
        <v>62</v>
      </c>
      <c r="L2531" s="43"/>
      <c r="M2531" s="43">
        <f>L2531*K2531</f>
        <v>0</v>
      </c>
      <c r="N2531" s="35">
        <v>4690368036856</v>
      </c>
    </row>
    <row r="2532" spans="1:14" ht="24" customHeight="1" outlineLevel="3" x14ac:dyDescent="0.2">
      <c r="A2532" s="45">
        <v>14172</v>
      </c>
      <c r="B2532" s="37" t="str">
        <f>HYPERLINK("http://sedek.ru/upload/iblock/efd/bartoniya_zolotaya_korona.jpg","фото")</f>
        <v>фото</v>
      </c>
      <c r="C2532" s="38"/>
      <c r="D2532" s="38"/>
      <c r="E2532" s="39"/>
      <c r="F2532" s="39" t="s">
        <v>3108</v>
      </c>
      <c r="G2532" s="44">
        <v>0.2</v>
      </c>
      <c r="H2532" s="39" t="s">
        <v>101</v>
      </c>
      <c r="I2532" s="39" t="s">
        <v>102</v>
      </c>
      <c r="J2532" s="41">
        <v>3000</v>
      </c>
      <c r="K2532" s="42">
        <v>29.1</v>
      </c>
      <c r="L2532" s="43"/>
      <c r="M2532" s="43">
        <f>L2532*K2532</f>
        <v>0</v>
      </c>
      <c r="N2532" s="35">
        <v>4607116263228</v>
      </c>
    </row>
    <row r="2533" spans="1:14" ht="24" customHeight="1" outlineLevel="3" x14ac:dyDescent="0.2">
      <c r="A2533" s="45">
        <v>15940</v>
      </c>
      <c r="B2533" s="37" t="str">
        <f>HYPERLINK("http://www.sedek.ru/upload/iblock/074/begoniya_izolda_f1_ampelnaya.jpg","фото")</f>
        <v>фото</v>
      </c>
      <c r="C2533" s="38"/>
      <c r="D2533" s="38"/>
      <c r="E2533" s="39"/>
      <c r="F2533" s="39" t="s">
        <v>3109</v>
      </c>
      <c r="G2533" s="40">
        <v>10</v>
      </c>
      <c r="H2533" s="39" t="s">
        <v>307</v>
      </c>
      <c r="I2533" s="39" t="s">
        <v>102</v>
      </c>
      <c r="J2533" s="41">
        <v>1500</v>
      </c>
      <c r="K2533" s="42">
        <v>170.4</v>
      </c>
      <c r="L2533" s="43"/>
      <c r="M2533" s="43">
        <f>L2533*K2533</f>
        <v>0</v>
      </c>
      <c r="N2533" s="35">
        <v>4607116263396</v>
      </c>
    </row>
    <row r="2534" spans="1:14" ht="24" customHeight="1" outlineLevel="3" x14ac:dyDescent="0.2">
      <c r="A2534" s="45">
        <v>15643</v>
      </c>
      <c r="B2534" s="37" t="str">
        <f>HYPERLINK("http://www.sedek.ru/upload/iblock/8a6/begoniya_ptenchik_f1_vechnotsvetushchaya.jpg","фото")</f>
        <v>фото</v>
      </c>
      <c r="C2534" s="38"/>
      <c r="D2534" s="38"/>
      <c r="E2534" s="39"/>
      <c r="F2534" s="39" t="s">
        <v>3110</v>
      </c>
      <c r="G2534" s="40">
        <v>10</v>
      </c>
      <c r="H2534" s="39" t="s">
        <v>307</v>
      </c>
      <c r="I2534" s="39" t="s">
        <v>102</v>
      </c>
      <c r="J2534" s="41">
        <v>1500</v>
      </c>
      <c r="K2534" s="42">
        <v>40.700000000000003</v>
      </c>
      <c r="L2534" s="43"/>
      <c r="M2534" s="43">
        <f>L2534*K2534</f>
        <v>0</v>
      </c>
      <c r="N2534" s="35">
        <v>4690368015615</v>
      </c>
    </row>
    <row r="2535" spans="1:14" ht="24" customHeight="1" outlineLevel="3" x14ac:dyDescent="0.2">
      <c r="A2535" s="45">
        <v>15644</v>
      </c>
      <c r="B2535" s="37" t="str">
        <f>HYPERLINK("http://sedek.ru/upload/iblock/f38/begoniya_pero_klubnevaya.jpg","фото")</f>
        <v>фото</v>
      </c>
      <c r="C2535" s="38"/>
      <c r="D2535" s="38"/>
      <c r="E2535" s="39"/>
      <c r="F2535" s="39" t="s">
        <v>3111</v>
      </c>
      <c r="G2535" s="40">
        <v>10</v>
      </c>
      <c r="H2535" s="39" t="s">
        <v>307</v>
      </c>
      <c r="I2535" s="39" t="s">
        <v>102</v>
      </c>
      <c r="J2535" s="41">
        <v>1500</v>
      </c>
      <c r="K2535" s="42">
        <v>157.9</v>
      </c>
      <c r="L2535" s="43"/>
      <c r="M2535" s="43">
        <f>L2535*K2535</f>
        <v>0</v>
      </c>
      <c r="N2535" s="35">
        <v>4690368015639</v>
      </c>
    </row>
    <row r="2536" spans="1:14" ht="36" customHeight="1" outlineLevel="3" x14ac:dyDescent="0.2">
      <c r="A2536" s="45">
        <v>15116</v>
      </c>
      <c r="B2536" s="37" t="str">
        <f>HYPERLINK("http://sedek.ru/upload/iblock/983/belamkanda_nezhenka.jpg","фото")</f>
        <v>фото</v>
      </c>
      <c r="C2536" s="38"/>
      <c r="D2536" s="38"/>
      <c r="E2536" s="39"/>
      <c r="F2536" s="39" t="s">
        <v>3112</v>
      </c>
      <c r="G2536" s="44">
        <v>0.2</v>
      </c>
      <c r="H2536" s="39" t="s">
        <v>101</v>
      </c>
      <c r="I2536" s="39" t="s">
        <v>102</v>
      </c>
      <c r="J2536" s="41">
        <v>3000</v>
      </c>
      <c r="K2536" s="42">
        <v>44.7</v>
      </c>
      <c r="L2536" s="43"/>
      <c r="M2536" s="43">
        <f>L2536*K2536</f>
        <v>0</v>
      </c>
      <c r="N2536" s="35">
        <v>4690368023672</v>
      </c>
    </row>
    <row r="2537" spans="1:14" ht="24" customHeight="1" outlineLevel="3" x14ac:dyDescent="0.2">
      <c r="A2537" s="45">
        <v>14510</v>
      </c>
      <c r="B2537" s="37" t="str">
        <f>HYPERLINK("http://sedek.ru/upload/iblock/f4c/brakhikoma_vals.jpg","фото")</f>
        <v>фото</v>
      </c>
      <c r="C2537" s="38"/>
      <c r="D2537" s="38"/>
      <c r="E2537" s="39"/>
      <c r="F2537" s="39" t="s">
        <v>3113</v>
      </c>
      <c r="G2537" s="44">
        <v>0.1</v>
      </c>
      <c r="H2537" s="39" t="s">
        <v>101</v>
      </c>
      <c r="I2537" s="39" t="s">
        <v>102</v>
      </c>
      <c r="J2537" s="41">
        <v>3000</v>
      </c>
      <c r="K2537" s="42">
        <v>21.4</v>
      </c>
      <c r="L2537" s="43"/>
      <c r="M2537" s="43">
        <f>L2537*K2537</f>
        <v>0</v>
      </c>
      <c r="N2537" s="35">
        <v>4607116263426</v>
      </c>
    </row>
    <row r="2538" spans="1:14" ht="24" customHeight="1" outlineLevel="3" x14ac:dyDescent="0.2">
      <c r="A2538" s="45">
        <v>14705</v>
      </c>
      <c r="B2538" s="37" t="str">
        <f>HYPERLINK("http://sedek.ru/upload/iblock/db2/briza_maksima_allegro.jpg","фото")</f>
        <v>фото</v>
      </c>
      <c r="C2538" s="38"/>
      <c r="D2538" s="38"/>
      <c r="E2538" s="39"/>
      <c r="F2538" s="39" t="s">
        <v>3114</v>
      </c>
      <c r="G2538" s="44">
        <v>0.5</v>
      </c>
      <c r="H2538" s="39" t="s">
        <v>101</v>
      </c>
      <c r="I2538" s="39" t="s">
        <v>102</v>
      </c>
      <c r="J2538" s="41">
        <v>1000</v>
      </c>
      <c r="K2538" s="42">
        <v>21.4</v>
      </c>
      <c r="L2538" s="43"/>
      <c r="M2538" s="43">
        <f>L2538*K2538</f>
        <v>0</v>
      </c>
      <c r="N2538" s="35">
        <v>4607116263433</v>
      </c>
    </row>
    <row r="2539" spans="1:14" ht="24" customHeight="1" outlineLevel="3" x14ac:dyDescent="0.2">
      <c r="A2539" s="45">
        <v>14664</v>
      </c>
      <c r="B2539" s="37" t="str">
        <f>HYPERLINK("http://sedek.ru/upload/iblock/cc6/brovalliya_vernost.jpg","фото")</f>
        <v>фото</v>
      </c>
      <c r="C2539" s="38"/>
      <c r="D2539" s="38"/>
      <c r="E2539" s="39"/>
      <c r="F2539" s="39" t="s">
        <v>3115</v>
      </c>
      <c r="G2539" s="44">
        <v>0.1</v>
      </c>
      <c r="H2539" s="39" t="s">
        <v>101</v>
      </c>
      <c r="I2539" s="39" t="s">
        <v>102</v>
      </c>
      <c r="J2539" s="41">
        <v>3000</v>
      </c>
      <c r="K2539" s="42">
        <v>48.4</v>
      </c>
      <c r="L2539" s="43"/>
      <c r="M2539" s="43">
        <f>L2539*K2539</f>
        <v>0</v>
      </c>
      <c r="N2539" s="35">
        <v>4607116263440</v>
      </c>
    </row>
    <row r="2540" spans="1:14" ht="24" customHeight="1" outlineLevel="3" x14ac:dyDescent="0.2">
      <c r="A2540" s="45">
        <v>14874</v>
      </c>
      <c r="B2540" s="37" t="str">
        <f>HYPERLINK("http://sedek.ru/upload/iblock/c00/busennik_kreolka.jpg","фото")</f>
        <v>фото</v>
      </c>
      <c r="C2540" s="38"/>
      <c r="D2540" s="38"/>
      <c r="E2540" s="39"/>
      <c r="F2540" s="39" t="s">
        <v>3116</v>
      </c>
      <c r="G2540" s="40">
        <v>1</v>
      </c>
      <c r="H2540" s="39" t="s">
        <v>101</v>
      </c>
      <c r="I2540" s="39" t="s">
        <v>102</v>
      </c>
      <c r="J2540" s="41">
        <v>2500</v>
      </c>
      <c r="K2540" s="42">
        <v>63.9</v>
      </c>
      <c r="L2540" s="43"/>
      <c r="M2540" s="43">
        <f>L2540*K2540</f>
        <v>0</v>
      </c>
      <c r="N2540" s="35">
        <v>4607116263457</v>
      </c>
    </row>
    <row r="2541" spans="1:14" ht="24" customHeight="1" outlineLevel="3" x14ac:dyDescent="0.2">
      <c r="A2541" s="46">
        <v>14614</v>
      </c>
      <c r="B2541" s="47" t="str">
        <f>HYPERLINK("http://sedek.ru/upload/iblock/e9c/vasilek_adigel.jpg","фото")</f>
        <v>фото</v>
      </c>
      <c r="C2541" s="48"/>
      <c r="D2541" s="48"/>
      <c r="E2541" s="49"/>
      <c r="F2541" s="49" t="s">
        <v>3117</v>
      </c>
      <c r="G2541" s="56">
        <v>0.5</v>
      </c>
      <c r="H2541" s="49" t="s">
        <v>101</v>
      </c>
      <c r="I2541" s="49" t="s">
        <v>102</v>
      </c>
      <c r="J2541" s="51">
        <v>3000</v>
      </c>
      <c r="K2541" s="52">
        <v>20.3</v>
      </c>
      <c r="L2541" s="53"/>
      <c r="M2541" s="53">
        <f>L2541*K2541</f>
        <v>0</v>
      </c>
      <c r="N2541" s="35">
        <v>4607116263464</v>
      </c>
    </row>
    <row r="2542" spans="1:14" ht="24" customHeight="1" outlineLevel="3" x14ac:dyDescent="0.2">
      <c r="A2542" s="45">
        <v>16585</v>
      </c>
      <c r="B2542" s="37" t="str">
        <f>HYPERLINK("http://sedek.ru/upload/iblock/11b/vasilek_golubaya_diadema.jpg","фото")</f>
        <v>фото</v>
      </c>
      <c r="C2542" s="38"/>
      <c r="D2542" s="38"/>
      <c r="E2542" s="39"/>
      <c r="F2542" s="39" t="s">
        <v>3118</v>
      </c>
      <c r="G2542" s="44">
        <v>0.5</v>
      </c>
      <c r="H2542" s="39" t="s">
        <v>101</v>
      </c>
      <c r="I2542" s="39" t="s">
        <v>102</v>
      </c>
      <c r="J2542" s="41">
        <v>3000</v>
      </c>
      <c r="K2542" s="42">
        <v>22.1</v>
      </c>
      <c r="L2542" s="43"/>
      <c r="M2542" s="43">
        <f>L2542*K2542</f>
        <v>0</v>
      </c>
      <c r="N2542" s="35">
        <v>4607116263471</v>
      </c>
    </row>
    <row r="2543" spans="1:14" ht="24" customHeight="1" outlineLevel="3" x14ac:dyDescent="0.2">
      <c r="A2543" s="45">
        <v>13607</v>
      </c>
      <c r="B2543" s="37" t="str">
        <f>HYPERLINK("http://sedek.ru/upload/iblock/70d/vasilek_zarevo.jpg","фото")</f>
        <v>фото</v>
      </c>
      <c r="C2543" s="38"/>
      <c r="D2543" s="38"/>
      <c r="E2543" s="39"/>
      <c r="F2543" s="39" t="s">
        <v>3119</v>
      </c>
      <c r="G2543" s="44">
        <v>0.5</v>
      </c>
      <c r="H2543" s="39" t="s">
        <v>101</v>
      </c>
      <c r="I2543" s="39" t="s">
        <v>102</v>
      </c>
      <c r="J2543" s="41">
        <v>3000</v>
      </c>
      <c r="K2543" s="42">
        <v>21.4</v>
      </c>
      <c r="L2543" s="43"/>
      <c r="M2543" s="43">
        <f>L2543*K2543</f>
        <v>0</v>
      </c>
      <c r="N2543" s="35">
        <v>4607116263495</v>
      </c>
    </row>
    <row r="2544" spans="1:14" ht="24" customHeight="1" outlineLevel="3" x14ac:dyDescent="0.2">
      <c r="A2544" s="45">
        <v>13545</v>
      </c>
      <c r="B2544" s="37" t="str">
        <f>HYPERLINK("http://sedek.ru/upload/iblock/52e/vasilek_nostalgiya.jpg","фото")</f>
        <v>фото</v>
      </c>
      <c r="C2544" s="38"/>
      <c r="D2544" s="38"/>
      <c r="E2544" s="39"/>
      <c r="F2544" s="39" t="s">
        <v>3120</v>
      </c>
      <c r="G2544" s="44">
        <v>0.5</v>
      </c>
      <c r="H2544" s="39" t="s">
        <v>101</v>
      </c>
      <c r="I2544" s="39" t="s">
        <v>102</v>
      </c>
      <c r="J2544" s="41">
        <v>3000</v>
      </c>
      <c r="K2544" s="42">
        <v>96.1</v>
      </c>
      <c r="L2544" s="43"/>
      <c r="M2544" s="43">
        <f>L2544*K2544</f>
        <v>0</v>
      </c>
      <c r="N2544" s="35">
        <v>4607116263525</v>
      </c>
    </row>
    <row r="2545" spans="1:14" ht="24" customHeight="1" outlineLevel="3" x14ac:dyDescent="0.2">
      <c r="A2545" s="45">
        <v>16060</v>
      </c>
      <c r="B2545" s="37" t="str">
        <f>HYPERLINK("http://www.sedek.ru/upload/iblock/69d/vasilek_favorit_imperialis.jpg","фото")</f>
        <v>фото</v>
      </c>
      <c r="C2545" s="38"/>
      <c r="D2545" s="38"/>
      <c r="E2545" s="39"/>
      <c r="F2545" s="39" t="s">
        <v>3121</v>
      </c>
      <c r="G2545" s="44">
        <v>0.5</v>
      </c>
      <c r="H2545" s="39" t="s">
        <v>101</v>
      </c>
      <c r="I2545" s="39" t="s">
        <v>102</v>
      </c>
      <c r="J2545" s="41">
        <v>3000</v>
      </c>
      <c r="K2545" s="42">
        <v>26.8</v>
      </c>
      <c r="L2545" s="43"/>
      <c r="M2545" s="43">
        <f>L2545*K2545</f>
        <v>0</v>
      </c>
      <c r="N2545" s="35">
        <v>4607116263501</v>
      </c>
    </row>
    <row r="2546" spans="1:14" ht="24" customHeight="1" outlineLevel="3" x14ac:dyDescent="0.2">
      <c r="A2546" s="45">
        <v>15278</v>
      </c>
      <c r="B2546" s="37" t="str">
        <f>HYPERLINK("http://sedek.ru/upload/iblock/109/vasilek_emir.jpg","фото")</f>
        <v>фото</v>
      </c>
      <c r="C2546" s="38"/>
      <c r="D2546" s="38"/>
      <c r="E2546" s="39"/>
      <c r="F2546" s="39" t="s">
        <v>3122</v>
      </c>
      <c r="G2546" s="44">
        <v>0.3</v>
      </c>
      <c r="H2546" s="39" t="s">
        <v>101</v>
      </c>
      <c r="I2546" s="39" t="s">
        <v>102</v>
      </c>
      <c r="J2546" s="41">
        <v>3000</v>
      </c>
      <c r="K2546" s="42">
        <v>25.5</v>
      </c>
      <c r="L2546" s="43"/>
      <c r="M2546" s="43">
        <f>L2546*K2546</f>
        <v>0</v>
      </c>
      <c r="N2546" s="35">
        <v>4607116263488</v>
      </c>
    </row>
    <row r="2547" spans="1:14" ht="24" customHeight="1" outlineLevel="3" x14ac:dyDescent="0.2">
      <c r="A2547" s="45">
        <v>14459</v>
      </c>
      <c r="B2547" s="37" t="str">
        <f>HYPERLINK("http://sedek.ru/upload/iblock/91d/vatochnik_gorzhetka_siriyskiy.jpg","фото")</f>
        <v>фото</v>
      </c>
      <c r="C2547" s="38"/>
      <c r="D2547" s="38"/>
      <c r="E2547" s="39"/>
      <c r="F2547" s="39" t="s">
        <v>3123</v>
      </c>
      <c r="G2547" s="54">
        <v>0.05</v>
      </c>
      <c r="H2547" s="39" t="s">
        <v>101</v>
      </c>
      <c r="I2547" s="39" t="s">
        <v>102</v>
      </c>
      <c r="J2547" s="41">
        <v>4000</v>
      </c>
      <c r="K2547" s="42">
        <v>24.9</v>
      </c>
      <c r="L2547" s="43"/>
      <c r="M2547" s="43">
        <f>L2547*K2547</f>
        <v>0</v>
      </c>
      <c r="N2547" s="35">
        <v>4607116263563</v>
      </c>
    </row>
    <row r="2548" spans="1:14" ht="24" customHeight="1" outlineLevel="3" x14ac:dyDescent="0.2">
      <c r="A2548" s="45">
        <v>14815</v>
      </c>
      <c r="B2548" s="37" t="str">
        <f>HYPERLINK("http://sedek.ru/upload/iblock/d36/vatochnik_magaradzha.jpg","фото")</f>
        <v>фото</v>
      </c>
      <c r="C2548" s="38"/>
      <c r="D2548" s="38"/>
      <c r="E2548" s="39"/>
      <c r="F2548" s="39" t="s">
        <v>3124</v>
      </c>
      <c r="G2548" s="54">
        <v>0.05</v>
      </c>
      <c r="H2548" s="39" t="s">
        <v>101</v>
      </c>
      <c r="I2548" s="39" t="s">
        <v>102</v>
      </c>
      <c r="J2548" s="41">
        <v>4000</v>
      </c>
      <c r="K2548" s="42">
        <v>21.4</v>
      </c>
      <c r="L2548" s="43"/>
      <c r="M2548" s="43">
        <f>L2548*K2548</f>
        <v>0</v>
      </c>
      <c r="N2548" s="35">
        <v>4607116263570</v>
      </c>
    </row>
    <row r="2549" spans="1:14" ht="24" customHeight="1" outlineLevel="3" x14ac:dyDescent="0.2">
      <c r="A2549" s="45">
        <v>16285</v>
      </c>
      <c r="B2549" s="37" t="str">
        <f>HYPERLINK("http://sedek.ru/upload/iblock/44c/venidium_amaretto.jpg","фото")</f>
        <v>фото</v>
      </c>
      <c r="C2549" s="38"/>
      <c r="D2549" s="38"/>
      <c r="E2549" s="39"/>
      <c r="F2549" s="39" t="s">
        <v>3125</v>
      </c>
      <c r="G2549" s="44">
        <v>0.1</v>
      </c>
      <c r="H2549" s="39" t="s">
        <v>101</v>
      </c>
      <c r="I2549" s="39" t="s">
        <v>102</v>
      </c>
      <c r="J2549" s="41">
        <v>3000</v>
      </c>
      <c r="K2549" s="42">
        <v>21.4</v>
      </c>
      <c r="L2549" s="43"/>
      <c r="M2549" s="43">
        <f>L2549*K2549</f>
        <v>0</v>
      </c>
      <c r="N2549" s="35">
        <v>4607116263587</v>
      </c>
    </row>
    <row r="2550" spans="1:14" ht="36" customHeight="1" outlineLevel="3" x14ac:dyDescent="0.2">
      <c r="A2550" s="45">
        <v>15556</v>
      </c>
      <c r="B2550" s="37" t="str">
        <f>HYPERLINK("http://www.sedek.ru/upload/iblock/2e5/verbaskum_girlyanda_korovyak_smes_tsvetov.jpg","Фото")</f>
        <v>Фото</v>
      </c>
      <c r="C2550" s="38"/>
      <c r="D2550" s="38"/>
      <c r="E2550" s="39"/>
      <c r="F2550" s="39" t="s">
        <v>3126</v>
      </c>
      <c r="G2550" s="44">
        <v>0.1</v>
      </c>
      <c r="H2550" s="39" t="s">
        <v>101</v>
      </c>
      <c r="I2550" s="39" t="s">
        <v>102</v>
      </c>
      <c r="J2550" s="41">
        <v>3000</v>
      </c>
      <c r="K2550" s="42">
        <v>21.4</v>
      </c>
      <c r="L2550" s="43"/>
      <c r="M2550" s="43">
        <f>L2550*K2550</f>
        <v>0</v>
      </c>
      <c r="N2550" s="35">
        <v>4607116263594</v>
      </c>
    </row>
    <row r="2551" spans="1:14" ht="24" customHeight="1" outlineLevel="3" x14ac:dyDescent="0.2">
      <c r="A2551" s="45">
        <v>13876</v>
      </c>
      <c r="B2551" s="37" t="str">
        <f>HYPERLINK("http://sedek.ru/upload/iblock/96a/verbeynik_zlatovlaska.jpg","фото")</f>
        <v>фото</v>
      </c>
      <c r="C2551" s="38"/>
      <c r="D2551" s="38"/>
      <c r="E2551" s="39"/>
      <c r="F2551" s="39" t="s">
        <v>3127</v>
      </c>
      <c r="G2551" s="44">
        <v>0.1</v>
      </c>
      <c r="H2551" s="39"/>
      <c r="I2551" s="39" t="s">
        <v>102</v>
      </c>
      <c r="J2551" s="41">
        <v>4000</v>
      </c>
      <c r="K2551" s="42">
        <v>41.8</v>
      </c>
      <c r="L2551" s="43"/>
      <c r="M2551" s="43">
        <f>L2551*K2551</f>
        <v>0</v>
      </c>
      <c r="N2551" s="35">
        <v>4607116263600</v>
      </c>
    </row>
    <row r="2552" spans="1:14" ht="24" customHeight="1" outlineLevel="3" x14ac:dyDescent="0.2">
      <c r="A2552" s="45">
        <v>15596</v>
      </c>
      <c r="B2552" s="37" t="str">
        <f>HYPERLINK("http://sedek.ru/upload/iblock/b8c/verbena_ideal.jpg","фото")</f>
        <v>фото</v>
      </c>
      <c r="C2552" s="38"/>
      <c r="D2552" s="38"/>
      <c r="E2552" s="39"/>
      <c r="F2552" s="39" t="s">
        <v>3128</v>
      </c>
      <c r="G2552" s="44">
        <v>0.1</v>
      </c>
      <c r="H2552" s="39" t="s">
        <v>101</v>
      </c>
      <c r="I2552" s="39" t="s">
        <v>102</v>
      </c>
      <c r="J2552" s="41">
        <v>4000</v>
      </c>
      <c r="K2552" s="42">
        <v>20.399999999999999</v>
      </c>
      <c r="L2552" s="43"/>
      <c r="M2552" s="43">
        <f>L2552*K2552</f>
        <v>0</v>
      </c>
      <c r="N2552" s="35">
        <v>4607116263617</v>
      </c>
    </row>
    <row r="2553" spans="1:14" ht="24" customHeight="1" outlineLevel="3" x14ac:dyDescent="0.2">
      <c r="A2553" s="45">
        <v>15039</v>
      </c>
      <c r="B2553" s="37" t="str">
        <f>HYPERLINK("http://sedek.ru/upload/iblock/7c8/verbena_santa_anna.jpg","фото")</f>
        <v>фото</v>
      </c>
      <c r="C2553" s="38"/>
      <c r="D2553" s="38"/>
      <c r="E2553" s="39"/>
      <c r="F2553" s="39" t="s">
        <v>3129</v>
      </c>
      <c r="G2553" s="44">
        <v>0.1</v>
      </c>
      <c r="H2553" s="39" t="s">
        <v>101</v>
      </c>
      <c r="I2553" s="39" t="s">
        <v>102</v>
      </c>
      <c r="J2553" s="41">
        <v>4000</v>
      </c>
      <c r="K2553" s="42">
        <v>31.2</v>
      </c>
      <c r="L2553" s="43"/>
      <c r="M2553" s="43">
        <f>L2553*K2553</f>
        <v>0</v>
      </c>
      <c r="N2553" s="35">
        <v>4690368019323</v>
      </c>
    </row>
    <row r="2554" spans="1:14" ht="36" customHeight="1" outlineLevel="3" x14ac:dyDescent="0.2">
      <c r="A2554" s="45">
        <v>15040</v>
      </c>
      <c r="B2554" s="37" t="str">
        <f>HYPERLINK("http://sedek.ru/upload/iblock/ac0/verbena_santa_katalina.jpg","фото")</f>
        <v>фото</v>
      </c>
      <c r="C2554" s="38"/>
      <c r="D2554" s="38"/>
      <c r="E2554" s="39"/>
      <c r="F2554" s="39" t="s">
        <v>3130</v>
      </c>
      <c r="G2554" s="54">
        <v>0.05</v>
      </c>
      <c r="H2554" s="39" t="s">
        <v>101</v>
      </c>
      <c r="I2554" s="39" t="s">
        <v>102</v>
      </c>
      <c r="J2554" s="41">
        <v>4000</v>
      </c>
      <c r="K2554" s="42">
        <v>22.4</v>
      </c>
      <c r="L2554" s="43"/>
      <c r="M2554" s="43">
        <f>L2554*K2554</f>
        <v>0</v>
      </c>
      <c r="N2554" s="35">
        <v>4690368019330</v>
      </c>
    </row>
    <row r="2555" spans="1:14" ht="24" customHeight="1" outlineLevel="3" x14ac:dyDescent="0.2">
      <c r="A2555" s="45">
        <v>13520</v>
      </c>
      <c r="B2555" s="37" t="str">
        <f>HYPERLINK("http://sedek.ru/upload/iblock/0ad/verbena_sirenevye_rosy.jpg","фото")</f>
        <v>фото</v>
      </c>
      <c r="C2555" s="38"/>
      <c r="D2555" s="38"/>
      <c r="E2555" s="39"/>
      <c r="F2555" s="39" t="s">
        <v>3131</v>
      </c>
      <c r="G2555" s="44">
        <v>0.1</v>
      </c>
      <c r="H2555" s="39" t="s">
        <v>101</v>
      </c>
      <c r="I2555" s="39" t="s">
        <v>102</v>
      </c>
      <c r="J2555" s="41">
        <v>4000</v>
      </c>
      <c r="K2555" s="42">
        <v>29.3</v>
      </c>
      <c r="L2555" s="43"/>
      <c r="M2555" s="43">
        <f>L2555*K2555</f>
        <v>0</v>
      </c>
      <c r="N2555" s="35">
        <v>4607116263624</v>
      </c>
    </row>
    <row r="2556" spans="1:14" ht="36" customHeight="1" outlineLevel="3" x14ac:dyDescent="0.2">
      <c r="A2556" s="36" t="s">
        <v>3132</v>
      </c>
      <c r="B2556" s="37" t="str">
        <f>HYPERLINK("http://www.sedek.ru/upload/iblock/e26/viola_adel_f1.jpg","фото")</f>
        <v>фото</v>
      </c>
      <c r="C2556" s="38"/>
      <c r="D2556" s="38"/>
      <c r="E2556" s="39" t="s">
        <v>3133</v>
      </c>
      <c r="F2556" s="39" t="s">
        <v>3134</v>
      </c>
      <c r="G2556" s="40">
        <v>5</v>
      </c>
      <c r="H2556" s="39" t="s">
        <v>307</v>
      </c>
      <c r="I2556" s="39" t="s">
        <v>102</v>
      </c>
      <c r="J2556" s="41">
        <v>4000</v>
      </c>
      <c r="K2556" s="42">
        <v>51.6</v>
      </c>
      <c r="L2556" s="43"/>
      <c r="M2556" s="43">
        <f>L2556*K2556</f>
        <v>0</v>
      </c>
      <c r="N2556" s="35">
        <v>4690368036979</v>
      </c>
    </row>
    <row r="2557" spans="1:14" ht="36" customHeight="1" outlineLevel="3" x14ac:dyDescent="0.2">
      <c r="A2557" s="36" t="s">
        <v>3135</v>
      </c>
      <c r="B2557" s="37" t="str">
        <f>HYPERLINK("http://www.sedek.ru/upload/iblock/9d9/viola_godzhi_f1.jpg","фото")</f>
        <v>фото</v>
      </c>
      <c r="C2557" s="38"/>
      <c r="D2557" s="38"/>
      <c r="E2557" s="39" t="s">
        <v>3133</v>
      </c>
      <c r="F2557" s="39" t="s">
        <v>3136</v>
      </c>
      <c r="G2557" s="40">
        <v>5</v>
      </c>
      <c r="H2557" s="39" t="s">
        <v>307</v>
      </c>
      <c r="I2557" s="39" t="s">
        <v>102</v>
      </c>
      <c r="J2557" s="41">
        <v>4000</v>
      </c>
      <c r="K2557" s="42">
        <v>51.6</v>
      </c>
      <c r="L2557" s="43"/>
      <c r="M2557" s="43">
        <f>L2557*K2557</f>
        <v>0</v>
      </c>
      <c r="N2557" s="35">
        <v>4690368036955</v>
      </c>
    </row>
    <row r="2558" spans="1:14" ht="36" customHeight="1" outlineLevel="3" x14ac:dyDescent="0.2">
      <c r="A2558" s="36" t="s">
        <v>3137</v>
      </c>
      <c r="B2558" s="37" t="str">
        <f>HYPERLINK("http://www.sedek.ru/upload/iblock/76e/fialka_dzholi_f1.jpg","фото")</f>
        <v>фото</v>
      </c>
      <c r="C2558" s="38"/>
      <c r="D2558" s="38"/>
      <c r="E2558" s="39" t="s">
        <v>3138</v>
      </c>
      <c r="F2558" s="39" t="s">
        <v>3139</v>
      </c>
      <c r="G2558" s="40">
        <v>5</v>
      </c>
      <c r="H2558" s="39" t="s">
        <v>307</v>
      </c>
      <c r="I2558" s="39" t="s">
        <v>102</v>
      </c>
      <c r="J2558" s="41">
        <v>4000</v>
      </c>
      <c r="K2558" s="42">
        <v>41.9</v>
      </c>
      <c r="L2558" s="43"/>
      <c r="M2558" s="43">
        <f>L2558*K2558</f>
        <v>0</v>
      </c>
      <c r="N2558" s="35">
        <v>4690368036948</v>
      </c>
    </row>
    <row r="2559" spans="1:14" ht="48" customHeight="1" outlineLevel="3" x14ac:dyDescent="0.2">
      <c r="A2559" s="36" t="s">
        <v>3140</v>
      </c>
      <c r="B2559" s="37" t="str">
        <f>HYPERLINK("http://www.sedek.ru/upload/iblock/f4e/viola_kot_d_azur_f1.jpg","фото")</f>
        <v>фото</v>
      </c>
      <c r="C2559" s="38"/>
      <c r="D2559" s="38"/>
      <c r="E2559" s="39"/>
      <c r="F2559" s="39" t="s">
        <v>3141</v>
      </c>
      <c r="G2559" s="40">
        <v>5</v>
      </c>
      <c r="H2559" s="39" t="s">
        <v>307</v>
      </c>
      <c r="I2559" s="39" t="s">
        <v>102</v>
      </c>
      <c r="J2559" s="41">
        <v>4000</v>
      </c>
      <c r="K2559" s="42">
        <v>51.6</v>
      </c>
      <c r="L2559" s="43"/>
      <c r="M2559" s="43">
        <f>L2559*K2559</f>
        <v>0</v>
      </c>
      <c r="N2559" s="35">
        <v>4690368036900</v>
      </c>
    </row>
    <row r="2560" spans="1:14" ht="48" customHeight="1" outlineLevel="3" x14ac:dyDescent="0.2">
      <c r="A2560" s="36" t="s">
        <v>3142</v>
      </c>
      <c r="B2560" s="37" t="str">
        <f>HYPERLINK("http://www.sedek.ru/upload/iblock/6b5/viola_kyanti_f1.jpg","фото")</f>
        <v>фото</v>
      </c>
      <c r="C2560" s="38"/>
      <c r="D2560" s="38"/>
      <c r="E2560" s="39" t="s">
        <v>3143</v>
      </c>
      <c r="F2560" s="39" t="s">
        <v>3144</v>
      </c>
      <c r="G2560" s="40">
        <v>10</v>
      </c>
      <c r="H2560" s="39" t="s">
        <v>307</v>
      </c>
      <c r="I2560" s="39" t="s">
        <v>102</v>
      </c>
      <c r="J2560" s="41">
        <v>4000</v>
      </c>
      <c r="K2560" s="42">
        <v>115.5</v>
      </c>
      <c r="L2560" s="43"/>
      <c r="M2560" s="43">
        <f>L2560*K2560</f>
        <v>0</v>
      </c>
      <c r="N2560" s="35">
        <v>4690368037037</v>
      </c>
    </row>
    <row r="2561" spans="1:14" ht="36" customHeight="1" outlineLevel="3" x14ac:dyDescent="0.2">
      <c r="A2561" s="36" t="s">
        <v>3145</v>
      </c>
      <c r="B2561" s="37" t="str">
        <f>HYPERLINK("http://www.sedek.ru/upload/iblock/d80/viola_laguna_f1.jpg","фото")</f>
        <v>фото</v>
      </c>
      <c r="C2561" s="38"/>
      <c r="D2561" s="38"/>
      <c r="E2561" s="39" t="s">
        <v>3146</v>
      </c>
      <c r="F2561" s="39" t="s">
        <v>3147</v>
      </c>
      <c r="G2561" s="40">
        <v>5</v>
      </c>
      <c r="H2561" s="39" t="s">
        <v>307</v>
      </c>
      <c r="I2561" s="39" t="s">
        <v>102</v>
      </c>
      <c r="J2561" s="41">
        <v>4000</v>
      </c>
      <c r="K2561" s="42">
        <v>51.5</v>
      </c>
      <c r="L2561" s="43"/>
      <c r="M2561" s="43">
        <f>L2561*K2561</f>
        <v>0</v>
      </c>
      <c r="N2561" s="35">
        <v>4690368037280</v>
      </c>
    </row>
    <row r="2562" spans="1:14" ht="48" customHeight="1" outlineLevel="3" x14ac:dyDescent="0.2">
      <c r="A2562" s="36" t="s">
        <v>3148</v>
      </c>
      <c r="B2562" s="37" t="str">
        <f>HYPERLINK("http://www.sedek.ru/upload/iblock/603/viola_mon_amur_f1.jpg","фото")</f>
        <v>фото</v>
      </c>
      <c r="C2562" s="38"/>
      <c r="D2562" s="38"/>
      <c r="E2562" s="39" t="s">
        <v>3149</v>
      </c>
      <c r="F2562" s="39" t="s">
        <v>3150</v>
      </c>
      <c r="G2562" s="40">
        <v>5</v>
      </c>
      <c r="H2562" s="39" t="s">
        <v>307</v>
      </c>
      <c r="I2562" s="39" t="s">
        <v>102</v>
      </c>
      <c r="J2562" s="41">
        <v>4000</v>
      </c>
      <c r="K2562" s="42">
        <v>51.6</v>
      </c>
      <c r="L2562" s="43"/>
      <c r="M2562" s="43">
        <f>L2562*K2562</f>
        <v>0</v>
      </c>
      <c r="N2562" s="35">
        <v>4690368036887</v>
      </c>
    </row>
    <row r="2563" spans="1:14" ht="36" customHeight="1" outlineLevel="3" x14ac:dyDescent="0.2">
      <c r="A2563" s="36" t="s">
        <v>3151</v>
      </c>
      <c r="B2563" s="37" t="str">
        <f>HYPERLINK("http://www.sedek.ru/upload/iblock/ee9//fialka_medzhik_f1.jpg","фото")</f>
        <v>фото</v>
      </c>
      <c r="C2563" s="38"/>
      <c r="D2563" s="38"/>
      <c r="E2563" s="39" t="s">
        <v>3152</v>
      </c>
      <c r="F2563" s="39" t="s">
        <v>3153</v>
      </c>
      <c r="G2563" s="40">
        <v>5</v>
      </c>
      <c r="H2563" s="39" t="s">
        <v>307</v>
      </c>
      <c r="I2563" s="39" t="s">
        <v>102</v>
      </c>
      <c r="J2563" s="41">
        <v>4000</v>
      </c>
      <c r="K2563" s="42">
        <v>51.5</v>
      </c>
      <c r="L2563" s="43"/>
      <c r="M2563" s="43">
        <f>L2563*K2563</f>
        <v>0</v>
      </c>
      <c r="N2563" s="35">
        <v>4690368037020</v>
      </c>
    </row>
    <row r="2564" spans="1:14" ht="36" customHeight="1" outlineLevel="3" x14ac:dyDescent="0.2">
      <c r="A2564" s="36" t="s">
        <v>3154</v>
      </c>
      <c r="B2564" s="37" t="str">
        <f>HYPERLINK("http://www.sedek.ru/upload/iblock/4b9/viola_niagara_f1.jpg","фото")</f>
        <v>фото</v>
      </c>
      <c r="C2564" s="38"/>
      <c r="D2564" s="38"/>
      <c r="E2564" s="39" t="s">
        <v>3155</v>
      </c>
      <c r="F2564" s="39" t="s">
        <v>3156</v>
      </c>
      <c r="G2564" s="40">
        <v>5</v>
      </c>
      <c r="H2564" s="39" t="s">
        <v>307</v>
      </c>
      <c r="I2564" s="39" t="s">
        <v>102</v>
      </c>
      <c r="J2564" s="41">
        <v>4000</v>
      </c>
      <c r="K2564" s="42">
        <v>51.5</v>
      </c>
      <c r="L2564" s="43"/>
      <c r="M2564" s="43">
        <f>L2564*K2564</f>
        <v>0</v>
      </c>
      <c r="N2564" s="35">
        <v>4690368037013</v>
      </c>
    </row>
    <row r="2565" spans="1:14" ht="36" customHeight="1" outlineLevel="3" x14ac:dyDescent="0.2">
      <c r="A2565" s="36" t="s">
        <v>3157</v>
      </c>
      <c r="B2565" s="37" t="str">
        <f>HYPERLINK("http://www.sedek.ru/upload/iblock/162/viola_peschanyy_bereg_f1.jpg","фото")</f>
        <v>фото</v>
      </c>
      <c r="C2565" s="38"/>
      <c r="D2565" s="38"/>
      <c r="E2565" s="39"/>
      <c r="F2565" s="39" t="s">
        <v>3158</v>
      </c>
      <c r="G2565" s="40">
        <v>5</v>
      </c>
      <c r="H2565" s="39" t="s">
        <v>307</v>
      </c>
      <c r="I2565" s="39" t="s">
        <v>102</v>
      </c>
      <c r="J2565" s="41">
        <v>4000</v>
      </c>
      <c r="K2565" s="42">
        <v>44.7</v>
      </c>
      <c r="L2565" s="43"/>
      <c r="M2565" s="43">
        <f>L2565*K2565</f>
        <v>0</v>
      </c>
      <c r="N2565" s="35">
        <v>4690368037266</v>
      </c>
    </row>
    <row r="2566" spans="1:14" ht="59.1" customHeight="1" outlineLevel="3" x14ac:dyDescent="0.2">
      <c r="A2566" s="36" t="s">
        <v>3159</v>
      </c>
      <c r="B2566" s="37" t="str">
        <f>HYPERLINK("http://www.sedek.ru/upload/iblock/940/viola_pinki_pay_f1.jpg","фото")</f>
        <v>фото</v>
      </c>
      <c r="C2566" s="38"/>
      <c r="D2566" s="38"/>
      <c r="E2566" s="39" t="s">
        <v>3149</v>
      </c>
      <c r="F2566" s="39" t="s">
        <v>3160</v>
      </c>
      <c r="G2566" s="40">
        <v>5</v>
      </c>
      <c r="H2566" s="39" t="s">
        <v>307</v>
      </c>
      <c r="I2566" s="39" t="s">
        <v>102</v>
      </c>
      <c r="J2566" s="41">
        <v>4000</v>
      </c>
      <c r="K2566" s="42">
        <v>51.6</v>
      </c>
      <c r="L2566" s="43"/>
      <c r="M2566" s="43">
        <f>L2566*K2566</f>
        <v>0</v>
      </c>
      <c r="N2566" s="35">
        <v>4690368036894</v>
      </c>
    </row>
    <row r="2567" spans="1:14" ht="48" customHeight="1" outlineLevel="3" x14ac:dyDescent="0.2">
      <c r="A2567" s="36" t="s">
        <v>3161</v>
      </c>
      <c r="B2567" s="37" t="str">
        <f>HYPERLINK("http://www.sedek.ru/upload/iblock/49e/viola_rinata_f1.jpg","фото")</f>
        <v>фото</v>
      </c>
      <c r="C2567" s="38"/>
      <c r="D2567" s="38"/>
      <c r="E2567" s="39" t="s">
        <v>3149</v>
      </c>
      <c r="F2567" s="39" t="s">
        <v>3162</v>
      </c>
      <c r="G2567" s="40">
        <v>5</v>
      </c>
      <c r="H2567" s="39" t="s">
        <v>307</v>
      </c>
      <c r="I2567" s="39" t="s">
        <v>102</v>
      </c>
      <c r="J2567" s="41">
        <v>4000</v>
      </c>
      <c r="K2567" s="42">
        <v>51.6</v>
      </c>
      <c r="L2567" s="43"/>
      <c r="M2567" s="43">
        <f>L2567*K2567</f>
        <v>0</v>
      </c>
      <c r="N2567" s="35">
        <v>4690368037259</v>
      </c>
    </row>
    <row r="2568" spans="1:14" ht="48" customHeight="1" outlineLevel="3" x14ac:dyDescent="0.2">
      <c r="A2568" s="36" t="s">
        <v>3163</v>
      </c>
      <c r="B2568" s="37" t="str">
        <f>HYPERLINK("http://www.sedek.ru/upload/iblock/904/viola_rubi_rouz_f1.jpg","фото")</f>
        <v>фото</v>
      </c>
      <c r="C2568" s="38"/>
      <c r="D2568" s="38"/>
      <c r="E2568" s="39" t="s">
        <v>3133</v>
      </c>
      <c r="F2568" s="39" t="s">
        <v>3164</v>
      </c>
      <c r="G2568" s="40">
        <v>5</v>
      </c>
      <c r="H2568" s="39" t="s">
        <v>307</v>
      </c>
      <c r="I2568" s="39" t="s">
        <v>102</v>
      </c>
      <c r="J2568" s="41">
        <v>4000</v>
      </c>
      <c r="K2568" s="42">
        <v>51.5</v>
      </c>
      <c r="L2568" s="43"/>
      <c r="M2568" s="43">
        <f>L2568*K2568</f>
        <v>0</v>
      </c>
      <c r="N2568" s="35">
        <v>4690368036986</v>
      </c>
    </row>
    <row r="2569" spans="1:14" ht="48" customHeight="1" outlineLevel="3" x14ac:dyDescent="0.2">
      <c r="A2569" s="36" t="s">
        <v>3165</v>
      </c>
      <c r="B2569" s="37" t="str">
        <f>HYPERLINK("http://www.sedek.ru/upload/iblock/33f/viola_sanrayz_f1.jpg","фото")</f>
        <v>фото</v>
      </c>
      <c r="C2569" s="38"/>
      <c r="D2569" s="38"/>
      <c r="E2569" s="39" t="s">
        <v>3166</v>
      </c>
      <c r="F2569" s="39" t="s">
        <v>3167</v>
      </c>
      <c r="G2569" s="40">
        <v>10</v>
      </c>
      <c r="H2569" s="39" t="s">
        <v>307</v>
      </c>
      <c r="I2569" s="39" t="s">
        <v>102</v>
      </c>
      <c r="J2569" s="41">
        <v>4000</v>
      </c>
      <c r="K2569" s="42">
        <v>93.5</v>
      </c>
      <c r="L2569" s="43"/>
      <c r="M2569" s="43">
        <f>L2569*K2569</f>
        <v>0</v>
      </c>
      <c r="N2569" s="35">
        <v>4690368037044</v>
      </c>
    </row>
    <row r="2570" spans="1:14" ht="36" customHeight="1" outlineLevel="3" x14ac:dyDescent="0.2">
      <c r="A2570" s="36" t="s">
        <v>3168</v>
      </c>
      <c r="B2570" s="37" t="str">
        <f>HYPERLINK("http://www.sedek.ru/upload/iblock/3b5/viola_tabasko_f1.jpg","фото")</f>
        <v>фото</v>
      </c>
      <c r="C2570" s="38"/>
      <c r="D2570" s="38"/>
      <c r="E2570" s="39" t="s">
        <v>3155</v>
      </c>
      <c r="F2570" s="39" t="s">
        <v>3169</v>
      </c>
      <c r="G2570" s="40">
        <v>5</v>
      </c>
      <c r="H2570" s="39" t="s">
        <v>307</v>
      </c>
      <c r="I2570" s="39" t="s">
        <v>102</v>
      </c>
      <c r="J2570" s="41">
        <v>4000</v>
      </c>
      <c r="K2570" s="42">
        <v>51.5</v>
      </c>
      <c r="L2570" s="43"/>
      <c r="M2570" s="43">
        <f>L2570*K2570</f>
        <v>0</v>
      </c>
      <c r="N2570" s="35">
        <v>4690368037006</v>
      </c>
    </row>
    <row r="2571" spans="1:14" ht="36" customHeight="1" outlineLevel="3" x14ac:dyDescent="0.2">
      <c r="A2571" s="36" t="s">
        <v>3170</v>
      </c>
      <c r="B2571" s="37" t="str">
        <f>HYPERLINK("http://www.sedek.ru/upload/iblock/fdd/viola_feeriya_f1.jpg","фото")</f>
        <v>фото</v>
      </c>
      <c r="C2571" s="38"/>
      <c r="D2571" s="38"/>
      <c r="E2571" s="39" t="s">
        <v>3149</v>
      </c>
      <c r="F2571" s="39" t="s">
        <v>3171</v>
      </c>
      <c r="G2571" s="40">
        <v>5</v>
      </c>
      <c r="H2571" s="39" t="s">
        <v>307</v>
      </c>
      <c r="I2571" s="39" t="s">
        <v>102</v>
      </c>
      <c r="J2571" s="41">
        <v>4000</v>
      </c>
      <c r="K2571" s="42">
        <v>51.6</v>
      </c>
      <c r="L2571" s="43"/>
      <c r="M2571" s="43">
        <f>L2571*K2571</f>
        <v>0</v>
      </c>
      <c r="N2571" s="35">
        <v>4690368036931</v>
      </c>
    </row>
    <row r="2572" spans="1:14" ht="48" customHeight="1" outlineLevel="3" x14ac:dyDescent="0.2">
      <c r="A2572" s="36" t="s">
        <v>3172</v>
      </c>
      <c r="B2572" s="37" t="str">
        <f>HYPERLINK("http://www.sedek.ru/upload/iblock/7ef/viola_tsirk_dyu_soley_f1.jpg","фото")</f>
        <v>фото</v>
      </c>
      <c r="C2572" s="38"/>
      <c r="D2572" s="38"/>
      <c r="E2572" s="39" t="s">
        <v>3173</v>
      </c>
      <c r="F2572" s="39" t="s">
        <v>3174</v>
      </c>
      <c r="G2572" s="40">
        <v>5</v>
      </c>
      <c r="H2572" s="39" t="s">
        <v>307</v>
      </c>
      <c r="I2572" s="39" t="s">
        <v>102</v>
      </c>
      <c r="J2572" s="41">
        <v>4000</v>
      </c>
      <c r="K2572" s="42">
        <v>69.3</v>
      </c>
      <c r="L2572" s="43"/>
      <c r="M2572" s="43">
        <f>L2572*K2572</f>
        <v>0</v>
      </c>
      <c r="N2572" s="35">
        <v>4690368037075</v>
      </c>
    </row>
    <row r="2573" spans="1:14" ht="36" customHeight="1" outlineLevel="3" x14ac:dyDescent="0.2">
      <c r="A2573" s="36" t="s">
        <v>3175</v>
      </c>
      <c r="B2573" s="37" t="str">
        <f>HYPERLINK("http://www.sedek.ru/upload/iblock/ad5/viola_shakira_f1.jpg","фото")</f>
        <v>фото</v>
      </c>
      <c r="C2573" s="38"/>
      <c r="D2573" s="38"/>
      <c r="E2573" s="39" t="s">
        <v>3176</v>
      </c>
      <c r="F2573" s="39" t="s">
        <v>3177</v>
      </c>
      <c r="G2573" s="40">
        <v>5</v>
      </c>
      <c r="H2573" s="39" t="s">
        <v>307</v>
      </c>
      <c r="I2573" s="39" t="s">
        <v>102</v>
      </c>
      <c r="J2573" s="41">
        <v>4000</v>
      </c>
      <c r="K2573" s="42">
        <v>69.3</v>
      </c>
      <c r="L2573" s="43"/>
      <c r="M2573" s="43">
        <f>L2573*K2573</f>
        <v>0</v>
      </c>
      <c r="N2573" s="35">
        <v>4690368037068</v>
      </c>
    </row>
    <row r="2574" spans="1:14" ht="36" customHeight="1" outlineLevel="3" x14ac:dyDescent="0.2">
      <c r="A2574" s="36" t="s">
        <v>3178</v>
      </c>
      <c r="B2574" s="37" t="str">
        <f>HYPERLINK("http://www.sedek.ru/upload/iblock/7d6/viola_enigma_f1.jpg","фото")</f>
        <v>фото</v>
      </c>
      <c r="C2574" s="38"/>
      <c r="D2574" s="38"/>
      <c r="E2574" s="39" t="s">
        <v>3155</v>
      </c>
      <c r="F2574" s="39" t="s">
        <v>3179</v>
      </c>
      <c r="G2574" s="40">
        <v>5</v>
      </c>
      <c r="H2574" s="39" t="s">
        <v>307</v>
      </c>
      <c r="I2574" s="39" t="s">
        <v>102</v>
      </c>
      <c r="J2574" s="41">
        <v>4000</v>
      </c>
      <c r="K2574" s="42">
        <v>51.5</v>
      </c>
      <c r="L2574" s="43"/>
      <c r="M2574" s="43">
        <f>L2574*K2574</f>
        <v>0</v>
      </c>
      <c r="N2574" s="35">
        <v>4690368036993</v>
      </c>
    </row>
    <row r="2575" spans="1:14" ht="24" customHeight="1" outlineLevel="3" x14ac:dyDescent="0.2">
      <c r="A2575" s="45">
        <v>30958</v>
      </c>
      <c r="B2575" s="37" t="str">
        <f>HYPERLINK("http://www.sedek.ru/upload/iblock/619/viskariya_dzhambo_okulata_.jpg","Фото")</f>
        <v>Фото</v>
      </c>
      <c r="C2575" s="38"/>
      <c r="D2575" s="38"/>
      <c r="E2575" s="39"/>
      <c r="F2575" s="39" t="s">
        <v>3180</v>
      </c>
      <c r="G2575" s="44">
        <v>0.1</v>
      </c>
      <c r="H2575" s="39" t="s">
        <v>101</v>
      </c>
      <c r="I2575" s="39" t="s">
        <v>102</v>
      </c>
      <c r="J2575" s="41">
        <v>3000</v>
      </c>
      <c r="K2575" s="42">
        <v>23.2</v>
      </c>
      <c r="L2575" s="43"/>
      <c r="M2575" s="43">
        <f>L2575*K2575</f>
        <v>0</v>
      </c>
      <c r="N2575" s="35">
        <v>4690368027069</v>
      </c>
    </row>
    <row r="2576" spans="1:14" ht="24" customHeight="1" outlineLevel="3" x14ac:dyDescent="0.2">
      <c r="A2576" s="45">
        <v>14123</v>
      </c>
      <c r="B2576" s="37" t="str">
        <f>HYPERLINK("http://sedek.ru/upload/iblock/12d/volodushka_lesnaya_diva.jpg","фото")</f>
        <v>фото</v>
      </c>
      <c r="C2576" s="38"/>
      <c r="D2576" s="38"/>
      <c r="E2576" s="39"/>
      <c r="F2576" s="39" t="s">
        <v>3181</v>
      </c>
      <c r="G2576" s="54">
        <v>0.25</v>
      </c>
      <c r="H2576" s="39" t="s">
        <v>101</v>
      </c>
      <c r="I2576" s="39" t="s">
        <v>102</v>
      </c>
      <c r="J2576" s="41">
        <v>3000</v>
      </c>
      <c r="K2576" s="42">
        <v>26.8</v>
      </c>
      <c r="L2576" s="43"/>
      <c r="M2576" s="43">
        <f>L2576*K2576</f>
        <v>0</v>
      </c>
      <c r="N2576" s="35">
        <v>4607116263648</v>
      </c>
    </row>
    <row r="2577" spans="1:14" ht="36" customHeight="1" outlineLevel="3" x14ac:dyDescent="0.2">
      <c r="A2577" s="45">
        <v>14365</v>
      </c>
      <c r="B2577" s="37" t="str">
        <f>HYPERLINK("http://sedek.ru/upload/iblock/0f5/gazaniya_otkrovenie.jpg","фото")</f>
        <v>фото</v>
      </c>
      <c r="C2577" s="38"/>
      <c r="D2577" s="38"/>
      <c r="E2577" s="39"/>
      <c r="F2577" s="39" t="s">
        <v>3182</v>
      </c>
      <c r="G2577" s="44">
        <v>0.1</v>
      </c>
      <c r="H2577" s="39" t="s">
        <v>101</v>
      </c>
      <c r="I2577" s="39" t="s">
        <v>102</v>
      </c>
      <c r="J2577" s="41">
        <v>3000</v>
      </c>
      <c r="K2577" s="42">
        <v>24.3</v>
      </c>
      <c r="L2577" s="43"/>
      <c r="M2577" s="43">
        <f>L2577*K2577</f>
        <v>0</v>
      </c>
      <c r="N2577" s="35">
        <v>4607116263655</v>
      </c>
    </row>
    <row r="2578" spans="1:14" ht="24" customHeight="1" outlineLevel="3" x14ac:dyDescent="0.2">
      <c r="A2578" s="45">
        <v>14521</v>
      </c>
      <c r="B2578" s="37" t="str">
        <f>HYPERLINK("http://sedek.ru/upload/iblock/055/gaylardiya_gelios.jpg","фото")</f>
        <v>фото</v>
      </c>
      <c r="C2578" s="38"/>
      <c r="D2578" s="38"/>
      <c r="E2578" s="39"/>
      <c r="F2578" s="39" t="s">
        <v>3183</v>
      </c>
      <c r="G2578" s="44">
        <v>0.2</v>
      </c>
      <c r="H2578" s="39" t="s">
        <v>101</v>
      </c>
      <c r="I2578" s="39" t="s">
        <v>102</v>
      </c>
      <c r="J2578" s="41">
        <v>5000</v>
      </c>
      <c r="K2578" s="42">
        <v>21.4</v>
      </c>
      <c r="L2578" s="43"/>
      <c r="M2578" s="43">
        <f>L2578*K2578</f>
        <v>0</v>
      </c>
      <c r="N2578" s="35">
        <v>4607116263662</v>
      </c>
    </row>
    <row r="2579" spans="1:14" ht="24" customHeight="1" outlineLevel="3" x14ac:dyDescent="0.2">
      <c r="A2579" s="45">
        <v>16371</v>
      </c>
      <c r="B2579" s="37" t="str">
        <f>HYPERLINK("http://sedek.ru/upload/iblock/235/gaylardiya_rondo.jpg","фото")</f>
        <v>фото</v>
      </c>
      <c r="C2579" s="38"/>
      <c r="D2579" s="38"/>
      <c r="E2579" s="39"/>
      <c r="F2579" s="39" t="s">
        <v>3184</v>
      </c>
      <c r="G2579" s="44">
        <v>0.2</v>
      </c>
      <c r="H2579" s="39" t="s">
        <v>101</v>
      </c>
      <c r="I2579" s="39" t="s">
        <v>102</v>
      </c>
      <c r="J2579" s="41">
        <v>5000</v>
      </c>
      <c r="K2579" s="42">
        <v>21.4</v>
      </c>
      <c r="L2579" s="43"/>
      <c r="M2579" s="43">
        <f>L2579*K2579</f>
        <v>0</v>
      </c>
      <c r="N2579" s="35">
        <v>4607116263679</v>
      </c>
    </row>
    <row r="2580" spans="1:14" ht="24" customHeight="1" outlineLevel="3" x14ac:dyDescent="0.2">
      <c r="A2580" s="45">
        <v>14961</v>
      </c>
      <c r="B2580" s="37" t="str">
        <f>HYPERLINK("http://sedek.ru/upload/iblock/209/gaylardiya_solnechnyy_ostrov.jpg","фото")</f>
        <v>фото</v>
      </c>
      <c r="C2580" s="38"/>
      <c r="D2580" s="38"/>
      <c r="E2580" s="39"/>
      <c r="F2580" s="39" t="s">
        <v>3185</v>
      </c>
      <c r="G2580" s="54">
        <v>0.05</v>
      </c>
      <c r="H2580" s="39" t="s">
        <v>101</v>
      </c>
      <c r="I2580" s="39" t="s">
        <v>102</v>
      </c>
      <c r="J2580" s="41">
        <v>5000</v>
      </c>
      <c r="K2580" s="42">
        <v>30.3</v>
      </c>
      <c r="L2580" s="43"/>
      <c r="M2580" s="43">
        <f>L2580*K2580</f>
        <v>0</v>
      </c>
      <c r="N2580" s="35">
        <v>4690368018104</v>
      </c>
    </row>
    <row r="2581" spans="1:14" ht="24" customHeight="1" outlineLevel="3" x14ac:dyDescent="0.2">
      <c r="A2581" s="45">
        <v>14944</v>
      </c>
      <c r="B2581" s="37" t="str">
        <f>HYPERLINK("http://sedek.ru/upload/iblock/5d6/gvozdika_amur.jpg","фото")</f>
        <v>фото</v>
      </c>
      <c r="C2581" s="38"/>
      <c r="D2581" s="38"/>
      <c r="E2581" s="39"/>
      <c r="F2581" s="39" t="s">
        <v>3186</v>
      </c>
      <c r="G2581" s="44">
        <v>0.1</v>
      </c>
      <c r="H2581" s="39" t="s">
        <v>101</v>
      </c>
      <c r="I2581" s="39" t="s">
        <v>102</v>
      </c>
      <c r="J2581" s="41">
        <v>5000</v>
      </c>
      <c r="K2581" s="42">
        <v>55.5</v>
      </c>
      <c r="L2581" s="43"/>
      <c r="M2581" s="43">
        <f>L2581*K2581</f>
        <v>0</v>
      </c>
      <c r="N2581" s="35">
        <v>4690368019873</v>
      </c>
    </row>
    <row r="2582" spans="1:14" ht="36" customHeight="1" outlineLevel="3" x14ac:dyDescent="0.2">
      <c r="A2582" s="45">
        <v>16348</v>
      </c>
      <c r="B2582" s="37" t="str">
        <f>HYPERLINK("http://sedek.ru/upload/iblock/314/gvozdika_vesta.jpg","фото")</f>
        <v>фото</v>
      </c>
      <c r="C2582" s="38"/>
      <c r="D2582" s="38"/>
      <c r="E2582" s="39"/>
      <c r="F2582" s="39" t="s">
        <v>3187</v>
      </c>
      <c r="G2582" s="54">
        <v>0.25</v>
      </c>
      <c r="H2582" s="39" t="s">
        <v>101</v>
      </c>
      <c r="I2582" s="39" t="s">
        <v>102</v>
      </c>
      <c r="J2582" s="41">
        <v>3000</v>
      </c>
      <c r="K2582" s="42">
        <v>20.9</v>
      </c>
      <c r="L2582" s="43"/>
      <c r="M2582" s="43">
        <f>L2582*K2582</f>
        <v>0</v>
      </c>
      <c r="N2582" s="35">
        <v>4607116263693</v>
      </c>
    </row>
    <row r="2583" spans="1:14" ht="24" customHeight="1" outlineLevel="3" x14ac:dyDescent="0.2">
      <c r="A2583" s="45">
        <v>14943</v>
      </c>
      <c r="B2583" s="37" t="str">
        <f>HYPERLINK("http://sedek.ru/upload/iblock/542/gvozdika_alvuda_gornyy_rassvet.jpg","фото")</f>
        <v>фото</v>
      </c>
      <c r="C2583" s="38"/>
      <c r="D2583" s="38"/>
      <c r="E2583" s="39"/>
      <c r="F2583" s="39" t="s">
        <v>3188</v>
      </c>
      <c r="G2583" s="44">
        <v>0.1</v>
      </c>
      <c r="H2583" s="39" t="s">
        <v>101</v>
      </c>
      <c r="I2583" s="39" t="s">
        <v>102</v>
      </c>
      <c r="J2583" s="41">
        <v>5000</v>
      </c>
      <c r="K2583" s="42">
        <v>33.1</v>
      </c>
      <c r="L2583" s="43"/>
      <c r="M2583" s="43">
        <f>L2583*K2583</f>
        <v>0</v>
      </c>
      <c r="N2583" s="35">
        <v>4690368017923</v>
      </c>
    </row>
    <row r="2584" spans="1:14" ht="24" customHeight="1" outlineLevel="3" x14ac:dyDescent="0.2">
      <c r="A2584" s="45">
        <v>14950</v>
      </c>
      <c r="B2584" s="37" t="str">
        <f>HYPERLINK("http://sedek.ru/upload/iblock/644/gvozdika_sadovaya_shabo_grenada.jpg","фото")</f>
        <v>фото</v>
      </c>
      <c r="C2584" s="38"/>
      <c r="D2584" s="38"/>
      <c r="E2584" s="39"/>
      <c r="F2584" s="39" t="s">
        <v>3189</v>
      </c>
      <c r="G2584" s="44">
        <v>0.1</v>
      </c>
      <c r="H2584" s="39" t="s">
        <v>101</v>
      </c>
      <c r="I2584" s="39" t="s">
        <v>102</v>
      </c>
      <c r="J2584" s="41">
        <v>5000</v>
      </c>
      <c r="K2584" s="42">
        <v>24.9</v>
      </c>
      <c r="L2584" s="43"/>
      <c r="M2584" s="43">
        <f>L2584*K2584</f>
        <v>0</v>
      </c>
      <c r="N2584" s="35">
        <v>4690368017992</v>
      </c>
    </row>
    <row r="2585" spans="1:14" ht="24" customHeight="1" outlineLevel="3" x14ac:dyDescent="0.2">
      <c r="A2585" s="45">
        <v>14953</v>
      </c>
      <c r="B2585" s="37" t="str">
        <f>HYPERLINK("http://sedek.ru/upload/iblock/3b0/gvozdika_sadovaya_kabare.jpg","фото")</f>
        <v>фото</v>
      </c>
      <c r="C2585" s="38"/>
      <c r="D2585" s="38"/>
      <c r="E2585" s="39"/>
      <c r="F2585" s="39" t="s">
        <v>3190</v>
      </c>
      <c r="G2585" s="44">
        <v>0.1</v>
      </c>
      <c r="H2585" s="39" t="s">
        <v>101</v>
      </c>
      <c r="I2585" s="39" t="s">
        <v>102</v>
      </c>
      <c r="J2585" s="41">
        <v>5000</v>
      </c>
      <c r="K2585" s="42">
        <v>26.6</v>
      </c>
      <c r="L2585" s="43"/>
      <c r="M2585" s="43">
        <f>L2585*K2585</f>
        <v>0</v>
      </c>
      <c r="N2585" s="35">
        <v>4690368018036</v>
      </c>
    </row>
    <row r="2586" spans="1:14" ht="24" customHeight="1" outlineLevel="3" x14ac:dyDescent="0.2">
      <c r="A2586" s="45">
        <v>14945</v>
      </c>
      <c r="B2586" s="37" t="str">
        <f>HYPERLINK("http://sedek.ru/upload/iblock/815/gvozdika_turetskaya_kasablanka.jpg","фото")</f>
        <v>фото</v>
      </c>
      <c r="C2586" s="38"/>
      <c r="D2586" s="38"/>
      <c r="E2586" s="39"/>
      <c r="F2586" s="39" t="s">
        <v>3191</v>
      </c>
      <c r="G2586" s="44">
        <v>0.3</v>
      </c>
      <c r="H2586" s="39" t="s">
        <v>101</v>
      </c>
      <c r="I2586" s="39" t="s">
        <v>102</v>
      </c>
      <c r="J2586" s="41">
        <v>3000</v>
      </c>
      <c r="K2586" s="42">
        <v>24.9</v>
      </c>
      <c r="L2586" s="43"/>
      <c r="M2586" s="43">
        <f>L2586*K2586</f>
        <v>0</v>
      </c>
      <c r="N2586" s="35">
        <v>4690368017947</v>
      </c>
    </row>
    <row r="2587" spans="1:14" ht="24" customHeight="1" outlineLevel="3" x14ac:dyDescent="0.2">
      <c r="A2587" s="45">
        <v>16162</v>
      </c>
      <c r="B2587" s="37" t="str">
        <f>HYPERLINK("http://sedek.ru/upload/iblock/051/gvozdika_krakovyak.jpg","фото")</f>
        <v>фото</v>
      </c>
      <c r="C2587" s="38"/>
      <c r="D2587" s="38"/>
      <c r="E2587" s="39"/>
      <c r="F2587" s="39" t="s">
        <v>3192</v>
      </c>
      <c r="G2587" s="54">
        <v>0.05</v>
      </c>
      <c r="H2587" s="39" t="s">
        <v>101</v>
      </c>
      <c r="I2587" s="39" t="s">
        <v>102</v>
      </c>
      <c r="J2587" s="41">
        <v>5000</v>
      </c>
      <c r="K2587" s="42">
        <v>44.5</v>
      </c>
      <c r="L2587" s="43"/>
      <c r="M2587" s="43">
        <f>L2587*K2587</f>
        <v>0</v>
      </c>
      <c r="N2587" s="35">
        <v>4607149407729</v>
      </c>
    </row>
    <row r="2588" spans="1:14" ht="24" customHeight="1" outlineLevel="3" x14ac:dyDescent="0.2">
      <c r="A2588" s="45">
        <v>14955</v>
      </c>
      <c r="B2588" s="37" t="str">
        <f>HYPERLINK("http://sedek.ru/upload/iblock/d7f/gvozdika_geddeviga_kukla_dolli.jpg","фото")</f>
        <v>фото</v>
      </c>
      <c r="C2588" s="38"/>
      <c r="D2588" s="38"/>
      <c r="E2588" s="39"/>
      <c r="F2588" s="39" t="s">
        <v>3193</v>
      </c>
      <c r="G2588" s="44">
        <v>0.5</v>
      </c>
      <c r="H2588" s="39" t="s">
        <v>101</v>
      </c>
      <c r="I2588" s="39" t="s">
        <v>102</v>
      </c>
      <c r="J2588" s="41">
        <v>3000</v>
      </c>
      <c r="K2588" s="42">
        <v>33.1</v>
      </c>
      <c r="L2588" s="43"/>
      <c r="M2588" s="43">
        <f>L2588*K2588</f>
        <v>0</v>
      </c>
      <c r="N2588" s="35">
        <v>4690368018050</v>
      </c>
    </row>
    <row r="2589" spans="1:14" ht="24" customHeight="1" outlineLevel="3" x14ac:dyDescent="0.2">
      <c r="A2589" s="45">
        <v>14272</v>
      </c>
      <c r="B2589" s="37" t="str">
        <f>HYPERLINK("http://sedek.ru/upload/iblock/451/gvozdika_sadovaya_shabo_margarita.jpg","фото")</f>
        <v>фото</v>
      </c>
      <c r="C2589" s="38"/>
      <c r="D2589" s="38"/>
      <c r="E2589" s="39"/>
      <c r="F2589" s="39" t="s">
        <v>3194</v>
      </c>
      <c r="G2589" s="44">
        <v>0.1</v>
      </c>
      <c r="H2589" s="39" t="s">
        <v>101</v>
      </c>
      <c r="I2589" s="39" t="s">
        <v>102</v>
      </c>
      <c r="J2589" s="41">
        <v>5000</v>
      </c>
      <c r="K2589" s="42">
        <v>24.9</v>
      </c>
      <c r="L2589" s="43"/>
      <c r="M2589" s="43">
        <f>L2589*K2589</f>
        <v>0</v>
      </c>
      <c r="N2589" s="35">
        <v>4690368018012</v>
      </c>
    </row>
    <row r="2590" spans="1:14" ht="24" customHeight="1" outlineLevel="3" x14ac:dyDescent="0.2">
      <c r="A2590" s="45">
        <v>14949</v>
      </c>
      <c r="B2590" s="37" t="str">
        <f>HYPERLINK("http://sedek.ru/upload/iblock/859/gvozdika_sadovaya_shabo_mariya.jpg","фото")</f>
        <v>фото</v>
      </c>
      <c r="C2590" s="38"/>
      <c r="D2590" s="38"/>
      <c r="E2590" s="39"/>
      <c r="F2590" s="39" t="s">
        <v>3195</v>
      </c>
      <c r="G2590" s="44">
        <v>0.1</v>
      </c>
      <c r="H2590" s="39" t="s">
        <v>101</v>
      </c>
      <c r="I2590" s="39" t="s">
        <v>102</v>
      </c>
      <c r="J2590" s="41">
        <v>5000</v>
      </c>
      <c r="K2590" s="42">
        <v>24.9</v>
      </c>
      <c r="L2590" s="43"/>
      <c r="M2590" s="43">
        <f>L2590*K2590</f>
        <v>0</v>
      </c>
      <c r="N2590" s="35">
        <v>4690368017985</v>
      </c>
    </row>
    <row r="2591" spans="1:14" ht="24" customHeight="1" outlineLevel="3" x14ac:dyDescent="0.2">
      <c r="A2591" s="45">
        <v>14110</v>
      </c>
      <c r="B2591" s="37" t="str">
        <f>HYPERLINK("http://sedek.ru/upload/iblock/850/gvozdika_meri_poppins_kitayskaya.jpg","фото")</f>
        <v>фото</v>
      </c>
      <c r="C2591" s="38"/>
      <c r="D2591" s="38"/>
      <c r="E2591" s="39"/>
      <c r="F2591" s="39" t="s">
        <v>3196</v>
      </c>
      <c r="G2591" s="44">
        <v>0.1</v>
      </c>
      <c r="H2591" s="39" t="s">
        <v>101</v>
      </c>
      <c r="I2591" s="39" t="s">
        <v>102</v>
      </c>
      <c r="J2591" s="41">
        <v>5000</v>
      </c>
      <c r="K2591" s="42">
        <v>33.1</v>
      </c>
      <c r="L2591" s="43"/>
      <c r="M2591" s="43">
        <f>L2591*K2591</f>
        <v>0</v>
      </c>
      <c r="N2591" s="35">
        <v>4607116263709</v>
      </c>
    </row>
    <row r="2592" spans="1:14" ht="24" customHeight="1" outlineLevel="3" x14ac:dyDescent="0.2">
      <c r="A2592" s="45">
        <v>14946</v>
      </c>
      <c r="B2592" s="37" t="str">
        <f>HYPERLINK("http://sedek.ru/upload/iblock/eb8/gvozdika_turetskaya_nadezhda.jpg","фото")</f>
        <v>фото</v>
      </c>
      <c r="C2592" s="38"/>
      <c r="D2592" s="38"/>
      <c r="E2592" s="39"/>
      <c r="F2592" s="39" t="s">
        <v>3197</v>
      </c>
      <c r="G2592" s="44">
        <v>0.5</v>
      </c>
      <c r="H2592" s="39" t="s">
        <v>101</v>
      </c>
      <c r="I2592" s="39" t="s">
        <v>102</v>
      </c>
      <c r="J2592" s="41">
        <v>3000</v>
      </c>
      <c r="K2592" s="42">
        <v>24.9</v>
      </c>
      <c r="L2592" s="43"/>
      <c r="M2592" s="43">
        <f>L2592*K2592</f>
        <v>0</v>
      </c>
      <c r="N2592" s="35">
        <v>4690368017954</v>
      </c>
    </row>
    <row r="2593" spans="1:14" ht="24" customHeight="1" outlineLevel="3" x14ac:dyDescent="0.2">
      <c r="A2593" s="45">
        <v>14951</v>
      </c>
      <c r="B2593" s="37" t="str">
        <f>HYPERLINK("http://sedek.ru/upload/iblock/efe/gvozdika_sadovaya_shabo_oranzhevyy_shcherbet.jpg","фото")</f>
        <v>фото</v>
      </c>
      <c r="C2593" s="38"/>
      <c r="D2593" s="38"/>
      <c r="E2593" s="39"/>
      <c r="F2593" s="39" t="s">
        <v>3198</v>
      </c>
      <c r="G2593" s="44">
        <v>0.1</v>
      </c>
      <c r="H2593" s="39" t="s">
        <v>101</v>
      </c>
      <c r="I2593" s="39" t="s">
        <v>102</v>
      </c>
      <c r="J2593" s="41">
        <v>5000</v>
      </c>
      <c r="K2593" s="42">
        <v>22.6</v>
      </c>
      <c r="L2593" s="43"/>
      <c r="M2593" s="43">
        <f>L2593*K2593</f>
        <v>0</v>
      </c>
      <c r="N2593" s="35">
        <v>4690368018005</v>
      </c>
    </row>
    <row r="2594" spans="1:14" ht="36" customHeight="1" outlineLevel="3" x14ac:dyDescent="0.2">
      <c r="A2594" s="45">
        <v>14954</v>
      </c>
      <c r="B2594" s="37" t="str">
        <f>HYPERLINK("http://sedek.ru/upload/iblock/1b3/gvozdika_travyanka_ocharovatelnye_glazki.jpg","фото")</f>
        <v>фото</v>
      </c>
      <c r="C2594" s="38"/>
      <c r="D2594" s="38"/>
      <c r="E2594" s="39"/>
      <c r="F2594" s="39" t="s">
        <v>3199</v>
      </c>
      <c r="G2594" s="44">
        <v>0.1</v>
      </c>
      <c r="H2594" s="39" t="s">
        <v>101</v>
      </c>
      <c r="I2594" s="39" t="s">
        <v>102</v>
      </c>
      <c r="J2594" s="41">
        <v>5000</v>
      </c>
      <c r="K2594" s="42">
        <v>26.6</v>
      </c>
      <c r="L2594" s="43"/>
      <c r="M2594" s="43">
        <f>L2594*K2594</f>
        <v>0</v>
      </c>
      <c r="N2594" s="35">
        <v>4690368018043</v>
      </c>
    </row>
    <row r="2595" spans="1:14" ht="24" customHeight="1" outlineLevel="3" x14ac:dyDescent="0.2">
      <c r="A2595" s="45">
        <v>16478</v>
      </c>
      <c r="B2595" s="37" t="str">
        <f>HYPERLINK("http://sedek.ru/upload/iblock/cb4/gvozdika_pleyada.jpg","фото")</f>
        <v>фото</v>
      </c>
      <c r="C2595" s="38"/>
      <c r="D2595" s="38"/>
      <c r="E2595" s="39"/>
      <c r="F2595" s="39" t="s">
        <v>3200</v>
      </c>
      <c r="G2595" s="44">
        <v>0.3</v>
      </c>
      <c r="H2595" s="39" t="s">
        <v>101</v>
      </c>
      <c r="I2595" s="39" t="s">
        <v>102</v>
      </c>
      <c r="J2595" s="41">
        <v>3000</v>
      </c>
      <c r="K2595" s="42">
        <v>23.3</v>
      </c>
      <c r="L2595" s="43"/>
      <c r="M2595" s="43">
        <f>L2595*K2595</f>
        <v>0</v>
      </c>
      <c r="N2595" s="35">
        <v>4607116263716</v>
      </c>
    </row>
    <row r="2596" spans="1:14" ht="24" customHeight="1" outlineLevel="3" x14ac:dyDescent="0.2">
      <c r="A2596" s="45">
        <v>14948</v>
      </c>
      <c r="B2596" s="37" t="str">
        <f>HYPERLINK("http://sedek.ru/upload/iblock/4f7/gvozdika_sadovaya_shabo_rozovaya_koroleva.jpg","фото")</f>
        <v>фото</v>
      </c>
      <c r="C2596" s="38"/>
      <c r="D2596" s="38"/>
      <c r="E2596" s="39"/>
      <c r="F2596" s="39" t="s">
        <v>3201</v>
      </c>
      <c r="G2596" s="44">
        <v>0.1</v>
      </c>
      <c r="H2596" s="39" t="s">
        <v>101</v>
      </c>
      <c r="I2596" s="39" t="s">
        <v>102</v>
      </c>
      <c r="J2596" s="41">
        <v>5000</v>
      </c>
      <c r="K2596" s="42">
        <v>21.4</v>
      </c>
      <c r="L2596" s="43"/>
      <c r="M2596" s="43">
        <f>L2596*K2596</f>
        <v>0</v>
      </c>
      <c r="N2596" s="35">
        <v>4690368017978</v>
      </c>
    </row>
    <row r="2597" spans="1:14" ht="24" customHeight="1" outlineLevel="3" x14ac:dyDescent="0.2">
      <c r="A2597" s="45">
        <v>16316</v>
      </c>
      <c r="B2597" s="37" t="str">
        <f>HYPERLINK("http://sedek.ru/upload/iblock/cb9/gvozdika_syurpriz_turetskaya_makhrovaya_smes.jpg","фото")</f>
        <v>фото</v>
      </c>
      <c r="C2597" s="38"/>
      <c r="D2597" s="38"/>
      <c r="E2597" s="39"/>
      <c r="F2597" s="39" t="s">
        <v>3202</v>
      </c>
      <c r="G2597" s="44">
        <v>0.5</v>
      </c>
      <c r="H2597" s="39" t="s">
        <v>101</v>
      </c>
      <c r="I2597" s="39" t="s">
        <v>102</v>
      </c>
      <c r="J2597" s="41">
        <v>3000</v>
      </c>
      <c r="K2597" s="42">
        <v>23.5</v>
      </c>
      <c r="L2597" s="43"/>
      <c r="M2597" s="43">
        <f>L2597*K2597</f>
        <v>0</v>
      </c>
      <c r="N2597" s="35">
        <v>4607116263747</v>
      </c>
    </row>
    <row r="2598" spans="1:14" ht="24" customHeight="1" outlineLevel="3" x14ac:dyDescent="0.2">
      <c r="A2598" s="45">
        <v>13798</v>
      </c>
      <c r="B2598" s="37" t="str">
        <f>HYPERLINK("http://sedek.ru/upload/iblock/707/gvozdika_feeriya.jpg","фото")</f>
        <v>фото</v>
      </c>
      <c r="C2598" s="38"/>
      <c r="D2598" s="38"/>
      <c r="E2598" s="39"/>
      <c r="F2598" s="39" t="s">
        <v>3203</v>
      </c>
      <c r="G2598" s="44">
        <v>0.1</v>
      </c>
      <c r="H2598" s="39" t="s">
        <v>101</v>
      </c>
      <c r="I2598" s="39" t="s">
        <v>102</v>
      </c>
      <c r="J2598" s="41">
        <v>5000</v>
      </c>
      <c r="K2598" s="42">
        <v>21.4</v>
      </c>
      <c r="L2598" s="43"/>
      <c r="M2598" s="43">
        <f>L2598*K2598</f>
        <v>0</v>
      </c>
      <c r="N2598" s="35">
        <v>4607116263686</v>
      </c>
    </row>
    <row r="2599" spans="1:14" ht="24" customHeight="1" outlineLevel="3" x14ac:dyDescent="0.2">
      <c r="A2599" s="45">
        <v>14219</v>
      </c>
      <c r="B2599" s="37" t="str">
        <f>HYPERLINK("http://sedek.ru/upload/iblock/c41/gvozdika_turetskaya_florentsiya.jpg","фото")</f>
        <v>фото</v>
      </c>
      <c r="C2599" s="38"/>
      <c r="D2599" s="38"/>
      <c r="E2599" s="39"/>
      <c r="F2599" s="39" t="s">
        <v>3204</v>
      </c>
      <c r="G2599" s="44">
        <v>0.3</v>
      </c>
      <c r="H2599" s="39" t="s">
        <v>101</v>
      </c>
      <c r="I2599" s="39" t="s">
        <v>102</v>
      </c>
      <c r="J2599" s="41">
        <v>3000</v>
      </c>
      <c r="K2599" s="42">
        <v>24.9</v>
      </c>
      <c r="L2599" s="43"/>
      <c r="M2599" s="43">
        <f>L2599*K2599</f>
        <v>0</v>
      </c>
      <c r="N2599" s="35">
        <v>4690368014748</v>
      </c>
    </row>
    <row r="2600" spans="1:14" ht="24" customHeight="1" outlineLevel="3" x14ac:dyDescent="0.2">
      <c r="A2600" s="45">
        <v>16220</v>
      </c>
      <c r="B2600" s="37" t="str">
        <f>HYPERLINK("http://sedek.ru/upload/iblock/a68/gvozdika_florida_turetskaya_smes.jpg","фото")</f>
        <v>фото</v>
      </c>
      <c r="C2600" s="38"/>
      <c r="D2600" s="38"/>
      <c r="E2600" s="39"/>
      <c r="F2600" s="39" t="s">
        <v>3205</v>
      </c>
      <c r="G2600" s="44">
        <v>0.5</v>
      </c>
      <c r="H2600" s="39" t="s">
        <v>101</v>
      </c>
      <c r="I2600" s="39" t="s">
        <v>102</v>
      </c>
      <c r="J2600" s="41">
        <v>3000</v>
      </c>
      <c r="K2600" s="42">
        <v>23.75</v>
      </c>
      <c r="L2600" s="43"/>
      <c r="M2600" s="43">
        <f>L2600*K2600</f>
        <v>0</v>
      </c>
      <c r="N2600" s="35">
        <v>4607116263785</v>
      </c>
    </row>
    <row r="2601" spans="1:14" ht="24" customHeight="1" outlineLevel="3" x14ac:dyDescent="0.2">
      <c r="A2601" s="45">
        <v>16260</v>
      </c>
      <c r="B2601" s="37" t="str">
        <f>HYPERLINK("http://sedek.ru/upload/iblock/3fd/gvozdika_kholborn_gloriya_turetskaya.jpg","фото")</f>
        <v>фото</v>
      </c>
      <c r="C2601" s="38"/>
      <c r="D2601" s="38"/>
      <c r="E2601" s="39"/>
      <c r="F2601" s="39" t="s">
        <v>3206</v>
      </c>
      <c r="G2601" s="44">
        <v>0.5</v>
      </c>
      <c r="H2601" s="39" t="s">
        <v>101</v>
      </c>
      <c r="I2601" s="39" t="s">
        <v>102</v>
      </c>
      <c r="J2601" s="41">
        <v>3000</v>
      </c>
      <c r="K2601" s="42">
        <v>28.2</v>
      </c>
      <c r="L2601" s="43"/>
      <c r="M2601" s="43">
        <f>L2601*K2601</f>
        <v>0</v>
      </c>
      <c r="N2601" s="35">
        <v>4607116263761</v>
      </c>
    </row>
    <row r="2602" spans="1:14" ht="24" customHeight="1" outlineLevel="3" x14ac:dyDescent="0.2">
      <c r="A2602" s="45">
        <v>16084</v>
      </c>
      <c r="B2602" s="37" t="str">
        <f>HYPERLINK("http://sedek.ru/upload/iblock/982/gvozdika_tsyganka.jpg","фото")</f>
        <v>фото</v>
      </c>
      <c r="C2602" s="38"/>
      <c r="D2602" s="38"/>
      <c r="E2602" s="39"/>
      <c r="F2602" s="39" t="s">
        <v>3207</v>
      </c>
      <c r="G2602" s="44">
        <v>0.3</v>
      </c>
      <c r="H2602" s="39" t="s">
        <v>101</v>
      </c>
      <c r="I2602" s="39" t="s">
        <v>102</v>
      </c>
      <c r="J2602" s="41">
        <v>3000</v>
      </c>
      <c r="K2602" s="42">
        <v>24.9</v>
      </c>
      <c r="L2602" s="43"/>
      <c r="M2602" s="43">
        <f>L2602*K2602</f>
        <v>0</v>
      </c>
      <c r="N2602" s="35">
        <v>4607149401475</v>
      </c>
    </row>
    <row r="2603" spans="1:14" ht="24" customHeight="1" outlineLevel="3" x14ac:dyDescent="0.2">
      <c r="A2603" s="45">
        <v>15328</v>
      </c>
      <c r="B2603" s="37" t="str">
        <f>HYPERLINK("http://sedek.ru/upload/iblock/622/gelenium_dionis.jpg","фото")</f>
        <v>фото</v>
      </c>
      <c r="C2603" s="38"/>
      <c r="D2603" s="38"/>
      <c r="E2603" s="39"/>
      <c r="F2603" s="39" t="s">
        <v>3208</v>
      </c>
      <c r="G2603" s="44">
        <v>0.1</v>
      </c>
      <c r="H2603" s="39" t="s">
        <v>101</v>
      </c>
      <c r="I2603" s="39" t="s">
        <v>102</v>
      </c>
      <c r="J2603" s="41">
        <v>5000</v>
      </c>
      <c r="K2603" s="42">
        <v>81.3</v>
      </c>
      <c r="L2603" s="43"/>
      <c r="M2603" s="43">
        <f>L2603*K2603</f>
        <v>0</v>
      </c>
      <c r="N2603" s="35">
        <v>4607149407781</v>
      </c>
    </row>
    <row r="2604" spans="1:14" ht="24" customHeight="1" outlineLevel="3" x14ac:dyDescent="0.2">
      <c r="A2604" s="45">
        <v>15187</v>
      </c>
      <c r="B2604" s="37" t="str">
        <f>HYPERLINK("http://sedek.ru/upload/iblock/859/gelenium_faeton.jpg","фото")</f>
        <v>фото</v>
      </c>
      <c r="C2604" s="38"/>
      <c r="D2604" s="38"/>
      <c r="E2604" s="39"/>
      <c r="F2604" s="39" t="s">
        <v>3209</v>
      </c>
      <c r="G2604" s="44">
        <v>0.1</v>
      </c>
      <c r="H2604" s="39" t="s">
        <v>101</v>
      </c>
      <c r="I2604" s="39" t="s">
        <v>102</v>
      </c>
      <c r="J2604" s="41">
        <v>5000</v>
      </c>
      <c r="K2604" s="42">
        <v>21.4</v>
      </c>
      <c r="L2604" s="43"/>
      <c r="M2604" s="43">
        <f>L2604*K2604</f>
        <v>0</v>
      </c>
      <c r="N2604" s="35">
        <v>4607116263792</v>
      </c>
    </row>
    <row r="2605" spans="1:14" ht="24" customHeight="1" outlineLevel="3" x14ac:dyDescent="0.2">
      <c r="A2605" s="45">
        <v>16317</v>
      </c>
      <c r="B2605" s="37" t="str">
        <f>HYPERLINK("http://sedek.ru/upload/iblock/8f8/geliopsis_sammer_san.jpg","фото")</f>
        <v>фото</v>
      </c>
      <c r="C2605" s="38"/>
      <c r="D2605" s="38"/>
      <c r="E2605" s="39"/>
      <c r="F2605" s="39" t="s">
        <v>3210</v>
      </c>
      <c r="G2605" s="44">
        <v>0.2</v>
      </c>
      <c r="H2605" s="39" t="s">
        <v>101</v>
      </c>
      <c r="I2605" s="39" t="s">
        <v>102</v>
      </c>
      <c r="J2605" s="41">
        <v>2500</v>
      </c>
      <c r="K2605" s="42">
        <v>21.4</v>
      </c>
      <c r="L2605" s="43"/>
      <c r="M2605" s="43">
        <f>L2605*K2605</f>
        <v>0</v>
      </c>
      <c r="N2605" s="35">
        <v>4607116263822</v>
      </c>
    </row>
    <row r="2606" spans="1:14" ht="24" customHeight="1" outlineLevel="3" x14ac:dyDescent="0.2">
      <c r="A2606" s="45">
        <v>14967</v>
      </c>
      <c r="B2606" s="37" t="str">
        <f>HYPERLINK("http://sedek.ru/upload/iblock/697/gelipterum_menglesa.jpg","фото")</f>
        <v>фото</v>
      </c>
      <c r="C2606" s="38"/>
      <c r="D2606" s="38"/>
      <c r="E2606" s="39"/>
      <c r="F2606" s="39" t="s">
        <v>3211</v>
      </c>
      <c r="G2606" s="44">
        <v>0.2</v>
      </c>
      <c r="H2606" s="39" t="s">
        <v>101</v>
      </c>
      <c r="I2606" s="39" t="s">
        <v>102</v>
      </c>
      <c r="J2606" s="41">
        <v>3000</v>
      </c>
      <c r="K2606" s="42">
        <v>24.9</v>
      </c>
      <c r="L2606" s="43"/>
      <c r="M2606" s="43">
        <f>L2606*K2606</f>
        <v>0</v>
      </c>
      <c r="N2606" s="35">
        <v>4690368018135</v>
      </c>
    </row>
    <row r="2607" spans="1:14" ht="24" customHeight="1" outlineLevel="3" x14ac:dyDescent="0.2">
      <c r="A2607" s="45">
        <v>16033</v>
      </c>
      <c r="B2607" s="37" t="str">
        <f>HYPERLINK("http://sedek.ru/upload/iblock/38f/gelikhrizum_zvezdnyy_malchik.jpg","фото")</f>
        <v>фото</v>
      </c>
      <c r="C2607" s="38"/>
      <c r="D2607" s="38"/>
      <c r="E2607" s="39"/>
      <c r="F2607" s="39" t="s">
        <v>3212</v>
      </c>
      <c r="G2607" s="44">
        <v>0.2</v>
      </c>
      <c r="H2607" s="39" t="s">
        <v>101</v>
      </c>
      <c r="I2607" s="39" t="s">
        <v>102</v>
      </c>
      <c r="J2607" s="41">
        <v>4000</v>
      </c>
      <c r="K2607" s="42">
        <v>24.9</v>
      </c>
      <c r="L2607" s="43"/>
      <c r="M2607" s="43">
        <f>L2607*K2607</f>
        <v>0</v>
      </c>
      <c r="N2607" s="35">
        <v>4607116263839</v>
      </c>
    </row>
    <row r="2608" spans="1:14" ht="24" customHeight="1" outlineLevel="3" x14ac:dyDescent="0.2">
      <c r="A2608" s="46">
        <v>14689</v>
      </c>
      <c r="B2608" s="47" t="str">
        <f>HYPERLINK("http://sedek.ru/upload/iblock/d19/gelikhrizum_ldinka.jpg","фото")</f>
        <v>фото</v>
      </c>
      <c r="C2608" s="48"/>
      <c r="D2608" s="48"/>
      <c r="E2608" s="49"/>
      <c r="F2608" s="49" t="s">
        <v>3213</v>
      </c>
      <c r="G2608" s="56">
        <v>0.2</v>
      </c>
      <c r="H2608" s="49" t="s">
        <v>101</v>
      </c>
      <c r="I2608" s="49" t="s">
        <v>102</v>
      </c>
      <c r="J2608" s="51">
        <v>4000</v>
      </c>
      <c r="K2608" s="52">
        <v>20.3</v>
      </c>
      <c r="L2608" s="53"/>
      <c r="M2608" s="53">
        <f>L2608*K2608</f>
        <v>0</v>
      </c>
      <c r="N2608" s="35">
        <v>4607149401444</v>
      </c>
    </row>
    <row r="2609" spans="1:14" ht="12" customHeight="1" outlineLevel="3" x14ac:dyDescent="0.2">
      <c r="A2609" s="45">
        <v>14688</v>
      </c>
      <c r="B2609" s="37" t="str">
        <f>HYPERLINK("http://sedek.ru/upload/iblock/71a/gelikhrizum_skarlet.jpg","фото")</f>
        <v>фото</v>
      </c>
      <c r="C2609" s="38"/>
      <c r="D2609" s="38"/>
      <c r="E2609" s="39"/>
      <c r="F2609" s="39" t="s">
        <v>3214</v>
      </c>
      <c r="G2609" s="44">
        <v>0.2</v>
      </c>
      <c r="H2609" s="39" t="s">
        <v>101</v>
      </c>
      <c r="I2609" s="39" t="s">
        <v>102</v>
      </c>
      <c r="J2609" s="41">
        <v>4000</v>
      </c>
      <c r="K2609" s="42">
        <v>28.2</v>
      </c>
      <c r="L2609" s="43"/>
      <c r="M2609" s="43">
        <f>L2609*K2609</f>
        <v>0</v>
      </c>
      <c r="N2609" s="35">
        <v>4607149401451</v>
      </c>
    </row>
    <row r="2610" spans="1:14" ht="24" customHeight="1" outlineLevel="3" x14ac:dyDescent="0.2">
      <c r="A2610" s="45">
        <v>16227</v>
      </c>
      <c r="B2610" s="37" t="str">
        <f>HYPERLINK("http://sedek.ru/upload/iblock/495/gelikhrizum_shchegol.jpg","фото")</f>
        <v>фото</v>
      </c>
      <c r="C2610" s="38"/>
      <c r="D2610" s="38"/>
      <c r="E2610" s="39"/>
      <c r="F2610" s="39" t="s">
        <v>3215</v>
      </c>
      <c r="G2610" s="44">
        <v>0.2</v>
      </c>
      <c r="H2610" s="39" t="s">
        <v>101</v>
      </c>
      <c r="I2610" s="39" t="s">
        <v>102</v>
      </c>
      <c r="J2610" s="41">
        <v>4000</v>
      </c>
      <c r="K2610" s="42">
        <v>21.4</v>
      </c>
      <c r="L2610" s="43"/>
      <c r="M2610" s="43">
        <f>L2610*K2610</f>
        <v>0</v>
      </c>
      <c r="N2610" s="35">
        <v>4607116263846</v>
      </c>
    </row>
    <row r="2611" spans="1:14" ht="24" customHeight="1" outlineLevel="3" x14ac:dyDescent="0.2">
      <c r="A2611" s="45">
        <v>14939</v>
      </c>
      <c r="B2611" s="37" t="str">
        <f>HYPERLINK("http://sedek.ru/upload/iblock/85b/georgina_aurika.jpg","фото")</f>
        <v>фото</v>
      </c>
      <c r="C2611" s="38"/>
      <c r="D2611" s="38"/>
      <c r="E2611" s="39"/>
      <c r="F2611" s="39" t="s">
        <v>3216</v>
      </c>
      <c r="G2611" s="44">
        <v>0.1</v>
      </c>
      <c r="H2611" s="39" t="s">
        <v>101</v>
      </c>
      <c r="I2611" s="39" t="s">
        <v>102</v>
      </c>
      <c r="J2611" s="41">
        <v>3000</v>
      </c>
      <c r="K2611" s="42">
        <v>66.900000000000006</v>
      </c>
      <c r="L2611" s="43"/>
      <c r="M2611" s="43">
        <f>L2611*K2611</f>
        <v>0</v>
      </c>
      <c r="N2611" s="35">
        <v>4690368017886</v>
      </c>
    </row>
    <row r="2612" spans="1:14" ht="24" customHeight="1" outlineLevel="3" x14ac:dyDescent="0.2">
      <c r="A2612" s="45">
        <v>17138</v>
      </c>
      <c r="B2612" s="37" t="str">
        <f>HYPERLINK("http://sedek.ru/upload/iblock/d80/georgina_krasnaya_shapochka.jpg","фото")</f>
        <v>фото</v>
      </c>
      <c r="C2612" s="38"/>
      <c r="D2612" s="38"/>
      <c r="E2612" s="39"/>
      <c r="F2612" s="39" t="s">
        <v>3217</v>
      </c>
      <c r="G2612" s="54">
        <v>0.15</v>
      </c>
      <c r="H2612" s="39"/>
      <c r="I2612" s="39" t="s">
        <v>102</v>
      </c>
      <c r="J2612" s="41">
        <v>3000</v>
      </c>
      <c r="K2612" s="42">
        <v>25.5</v>
      </c>
      <c r="L2612" s="43"/>
      <c r="M2612" s="43">
        <f>L2612*K2612</f>
        <v>0</v>
      </c>
      <c r="N2612" s="35">
        <v>4690368023139</v>
      </c>
    </row>
    <row r="2613" spans="1:14" ht="24" customHeight="1" outlineLevel="3" x14ac:dyDescent="0.2">
      <c r="A2613" s="45">
        <v>17135</v>
      </c>
      <c r="B2613" s="37" t="str">
        <f>HYPERLINK("http://sedek.ru/upload/iblock/e78/georgina_linda.jpg","фото")</f>
        <v>фото</v>
      </c>
      <c r="C2613" s="38"/>
      <c r="D2613" s="38"/>
      <c r="E2613" s="39"/>
      <c r="F2613" s="39" t="s">
        <v>3218</v>
      </c>
      <c r="G2613" s="54">
        <v>0.15</v>
      </c>
      <c r="H2613" s="39" t="s">
        <v>101</v>
      </c>
      <c r="I2613" s="39" t="s">
        <v>102</v>
      </c>
      <c r="J2613" s="41">
        <v>3000</v>
      </c>
      <c r="K2613" s="42">
        <v>21.4</v>
      </c>
      <c r="L2613" s="43"/>
      <c r="M2613" s="43">
        <f>L2613*K2613</f>
        <v>0</v>
      </c>
      <c r="N2613" s="35">
        <v>4690368023467</v>
      </c>
    </row>
    <row r="2614" spans="1:14" ht="24" customHeight="1" outlineLevel="3" x14ac:dyDescent="0.2">
      <c r="A2614" s="45">
        <v>14938</v>
      </c>
      <c r="B2614" s="37" t="str">
        <f>HYPERLINK("http://sedek.ru/upload/iblock/009/georgina_meksikanka.jpg","фото")</f>
        <v>фото</v>
      </c>
      <c r="C2614" s="38"/>
      <c r="D2614" s="38"/>
      <c r="E2614" s="39"/>
      <c r="F2614" s="39" t="s">
        <v>3219</v>
      </c>
      <c r="G2614" s="44">
        <v>0.2</v>
      </c>
      <c r="H2614" s="39" t="s">
        <v>101</v>
      </c>
      <c r="I2614" s="39" t="s">
        <v>102</v>
      </c>
      <c r="J2614" s="41">
        <v>3000</v>
      </c>
      <c r="K2614" s="42">
        <v>43.1</v>
      </c>
      <c r="L2614" s="43"/>
      <c r="M2614" s="43">
        <f>L2614*K2614</f>
        <v>0</v>
      </c>
      <c r="N2614" s="35">
        <v>4690368017879</v>
      </c>
    </row>
    <row r="2615" spans="1:14" ht="24" customHeight="1" outlineLevel="3" x14ac:dyDescent="0.2">
      <c r="A2615" s="45">
        <v>15824</v>
      </c>
      <c r="B2615" s="37" t="str">
        <f>HYPERLINK("http://sedek.ru/upload/iblock/0dc/georgina_minon.jpg","фото")</f>
        <v>фото</v>
      </c>
      <c r="C2615" s="38"/>
      <c r="D2615" s="38"/>
      <c r="E2615" s="39"/>
      <c r="F2615" s="39" t="s">
        <v>3220</v>
      </c>
      <c r="G2615" s="44">
        <v>0.2</v>
      </c>
      <c r="H2615" s="39" t="s">
        <v>101</v>
      </c>
      <c r="I2615" s="39" t="s">
        <v>102</v>
      </c>
      <c r="J2615" s="41">
        <v>3000</v>
      </c>
      <c r="K2615" s="42">
        <v>21.4</v>
      </c>
      <c r="L2615" s="43"/>
      <c r="M2615" s="43">
        <f>L2615*K2615</f>
        <v>0</v>
      </c>
      <c r="N2615" s="35">
        <v>4607116263877</v>
      </c>
    </row>
    <row r="2616" spans="1:14" ht="24" customHeight="1" outlineLevel="3" x14ac:dyDescent="0.2">
      <c r="A2616" s="45">
        <v>14937</v>
      </c>
      <c r="B2616" s="37" t="str">
        <f>HYPERLINK("http://sedek.ru/upload/iblock/ac9/georgina_meri.jpg","фото")</f>
        <v>фото</v>
      </c>
      <c r="C2616" s="38"/>
      <c r="D2616" s="38"/>
      <c r="E2616" s="39"/>
      <c r="F2616" s="39" t="s">
        <v>3221</v>
      </c>
      <c r="G2616" s="44">
        <v>0.2</v>
      </c>
      <c r="H2616" s="39" t="s">
        <v>101</v>
      </c>
      <c r="I2616" s="39" t="s">
        <v>102</v>
      </c>
      <c r="J2616" s="41">
        <v>3000</v>
      </c>
      <c r="K2616" s="42">
        <v>41.8</v>
      </c>
      <c r="L2616" s="43"/>
      <c r="M2616" s="43">
        <f>L2616*K2616</f>
        <v>0</v>
      </c>
      <c r="N2616" s="35">
        <v>4690368017862</v>
      </c>
    </row>
    <row r="2617" spans="1:14" ht="24" customHeight="1" outlineLevel="3" x14ac:dyDescent="0.2">
      <c r="A2617" s="45">
        <v>14101</v>
      </c>
      <c r="B2617" s="37" t="str">
        <f>HYPERLINK("http://sedek.ru/upload/iblock/452/georgina_pikkolo_minon.jpg","фото")</f>
        <v>фото</v>
      </c>
      <c r="C2617" s="38"/>
      <c r="D2617" s="38"/>
      <c r="E2617" s="39"/>
      <c r="F2617" s="39" t="s">
        <v>3222</v>
      </c>
      <c r="G2617" s="44">
        <v>0.2</v>
      </c>
      <c r="H2617" s="39" t="s">
        <v>101</v>
      </c>
      <c r="I2617" s="39" t="s">
        <v>102</v>
      </c>
      <c r="J2617" s="41">
        <v>3000</v>
      </c>
      <c r="K2617" s="42">
        <v>24.9</v>
      </c>
      <c r="L2617" s="43"/>
      <c r="M2617" s="43">
        <f>L2617*K2617</f>
        <v>0</v>
      </c>
      <c r="N2617" s="35">
        <v>4607116263884</v>
      </c>
    </row>
    <row r="2618" spans="1:14" ht="24" customHeight="1" outlineLevel="3" x14ac:dyDescent="0.2">
      <c r="A2618" s="45">
        <v>17136</v>
      </c>
      <c r="B2618" s="37" t="str">
        <f>HYPERLINK("http://sedek.ru/upload/iblock/3be/georgina_rapuntsel.jpg","фото")</f>
        <v>фото</v>
      </c>
      <c r="C2618" s="38"/>
      <c r="D2618" s="38"/>
      <c r="E2618" s="39"/>
      <c r="F2618" s="39" t="s">
        <v>3223</v>
      </c>
      <c r="G2618" s="44">
        <v>0.2</v>
      </c>
      <c r="H2618" s="39" t="s">
        <v>101</v>
      </c>
      <c r="I2618" s="39" t="s">
        <v>102</v>
      </c>
      <c r="J2618" s="41">
        <v>3000</v>
      </c>
      <c r="K2618" s="42">
        <v>26.6</v>
      </c>
      <c r="L2618" s="43"/>
      <c r="M2618" s="43">
        <f>L2618*K2618</f>
        <v>0</v>
      </c>
      <c r="N2618" s="35">
        <v>4690368023122</v>
      </c>
    </row>
    <row r="2619" spans="1:14" ht="36" customHeight="1" outlineLevel="3" x14ac:dyDescent="0.2">
      <c r="A2619" s="45">
        <v>16469</v>
      </c>
      <c r="B2619" s="37" t="str">
        <f>HYPERLINK("http://sedek.ru/upload/iblock/432/georgina_skomorokhi.jpg","фото")</f>
        <v>фото</v>
      </c>
      <c r="C2619" s="38"/>
      <c r="D2619" s="38"/>
      <c r="E2619" s="39"/>
      <c r="F2619" s="39" t="s">
        <v>3224</v>
      </c>
      <c r="G2619" s="44">
        <v>0.2</v>
      </c>
      <c r="H2619" s="39" t="s">
        <v>101</v>
      </c>
      <c r="I2619" s="39" t="s">
        <v>102</v>
      </c>
      <c r="J2619" s="41">
        <v>3000</v>
      </c>
      <c r="K2619" s="42">
        <v>25.6</v>
      </c>
      <c r="L2619" s="43"/>
      <c r="M2619" s="43">
        <f>L2619*K2619</f>
        <v>0</v>
      </c>
      <c r="N2619" s="35">
        <v>4607116263891</v>
      </c>
    </row>
    <row r="2620" spans="1:14" ht="24" customHeight="1" outlineLevel="3" x14ac:dyDescent="0.2">
      <c r="A2620" s="45">
        <v>17139</v>
      </c>
      <c r="B2620" s="37" t="str">
        <f>HYPERLINK("http://sedek.ru/upload/iblock/75b/georgina_tsarevna_budur.jpg","фото")</f>
        <v>фото</v>
      </c>
      <c r="C2620" s="38"/>
      <c r="D2620" s="38"/>
      <c r="E2620" s="39"/>
      <c r="F2620" s="39" t="s">
        <v>3225</v>
      </c>
      <c r="G2620" s="44">
        <v>0.2</v>
      </c>
      <c r="H2620" s="39" t="s">
        <v>101</v>
      </c>
      <c r="I2620" s="39" t="s">
        <v>102</v>
      </c>
      <c r="J2620" s="41">
        <v>3000</v>
      </c>
      <c r="K2620" s="42">
        <v>26.6</v>
      </c>
      <c r="L2620" s="43"/>
      <c r="M2620" s="43">
        <f>L2620*K2620</f>
        <v>0</v>
      </c>
      <c r="N2620" s="35">
        <v>4690368023146</v>
      </c>
    </row>
    <row r="2621" spans="1:14" ht="24" customHeight="1" outlineLevel="3" x14ac:dyDescent="0.2">
      <c r="A2621" s="45">
        <v>17137</v>
      </c>
      <c r="B2621" s="37" t="str">
        <f>HYPERLINK("http://www.sedek.ru/upload/iblock/932/georgina_elli_rozovaya.jpg","Фото")</f>
        <v>Фото</v>
      </c>
      <c r="C2621" s="38"/>
      <c r="D2621" s="38"/>
      <c r="E2621" s="39"/>
      <c r="F2621" s="39" t="s">
        <v>3226</v>
      </c>
      <c r="G2621" s="44">
        <v>0.2</v>
      </c>
      <c r="H2621" s="39" t="s">
        <v>101</v>
      </c>
      <c r="I2621" s="39" t="s">
        <v>102</v>
      </c>
      <c r="J2621" s="41">
        <v>3000</v>
      </c>
      <c r="K2621" s="42">
        <v>24.9</v>
      </c>
      <c r="L2621" s="43"/>
      <c r="M2621" s="43">
        <f>L2621*K2621</f>
        <v>0</v>
      </c>
      <c r="N2621" s="35">
        <v>4690368023474</v>
      </c>
    </row>
    <row r="2622" spans="1:14" ht="36" customHeight="1" outlineLevel="3" x14ac:dyDescent="0.2">
      <c r="A2622" s="45">
        <v>14486</v>
      </c>
      <c r="B2622" s="37" t="str">
        <f>HYPERLINK("http://sedek.ru/upload/iblock/697/gesperis_vdokhnovenie_smes.jpg","фото")</f>
        <v>фото</v>
      </c>
      <c r="C2622" s="38"/>
      <c r="D2622" s="38"/>
      <c r="E2622" s="39"/>
      <c r="F2622" s="39" t="s">
        <v>3227</v>
      </c>
      <c r="G2622" s="40">
        <v>1</v>
      </c>
      <c r="H2622" s="39" t="s">
        <v>101</v>
      </c>
      <c r="I2622" s="39" t="s">
        <v>102</v>
      </c>
      <c r="J2622" s="41">
        <v>3000</v>
      </c>
      <c r="K2622" s="42">
        <v>21.4</v>
      </c>
      <c r="L2622" s="43"/>
      <c r="M2622" s="43">
        <f>L2622*K2622</f>
        <v>0</v>
      </c>
      <c r="N2622" s="35">
        <v>4607116263914</v>
      </c>
    </row>
    <row r="2623" spans="1:14" ht="24" customHeight="1" outlineLevel="3" x14ac:dyDescent="0.2">
      <c r="A2623" s="45">
        <v>15062</v>
      </c>
      <c r="B2623" s="37" t="str">
        <f>HYPERLINK("http://sedek.ru/upload/iblock/8ef/gesperis_romans.jpg","фото")</f>
        <v>фото</v>
      </c>
      <c r="C2623" s="38"/>
      <c r="D2623" s="38"/>
      <c r="E2623" s="39"/>
      <c r="F2623" s="39" t="s">
        <v>3228</v>
      </c>
      <c r="G2623" s="40">
        <v>1</v>
      </c>
      <c r="H2623" s="39" t="s">
        <v>101</v>
      </c>
      <c r="I2623" s="39" t="s">
        <v>102</v>
      </c>
      <c r="J2623" s="41">
        <v>3000</v>
      </c>
      <c r="K2623" s="42">
        <v>23.3</v>
      </c>
      <c r="L2623" s="43"/>
      <c r="M2623" s="43">
        <f>L2623*K2623</f>
        <v>0</v>
      </c>
      <c r="N2623" s="35">
        <v>4607116263921</v>
      </c>
    </row>
    <row r="2624" spans="1:14" ht="36" customHeight="1" outlineLevel="3" x14ac:dyDescent="0.2">
      <c r="A2624" s="45">
        <v>14958</v>
      </c>
      <c r="B2624" s="37" t="str">
        <f>HYPERLINK("http://www.sedek.ru/upload/iblock/968/giatsintovye_boby_dolichis.jpg","фото")</f>
        <v>фото</v>
      </c>
      <c r="C2624" s="38"/>
      <c r="D2624" s="38"/>
      <c r="E2624" s="39"/>
      <c r="F2624" s="39" t="s">
        <v>3229</v>
      </c>
      <c r="G2624" s="40">
        <v>1</v>
      </c>
      <c r="H2624" s="39" t="s">
        <v>101</v>
      </c>
      <c r="I2624" s="39" t="s">
        <v>102</v>
      </c>
      <c r="J2624" s="41">
        <v>2500</v>
      </c>
      <c r="K2624" s="42">
        <v>47.1</v>
      </c>
      <c r="L2624" s="43"/>
      <c r="M2624" s="43">
        <f>L2624*K2624</f>
        <v>0</v>
      </c>
      <c r="N2624" s="35">
        <v>4690368018067</v>
      </c>
    </row>
    <row r="2625" spans="1:14" ht="24" customHeight="1" outlineLevel="3" x14ac:dyDescent="0.2">
      <c r="A2625" s="45">
        <v>16529</v>
      </c>
      <c r="B2625" s="37" t="str">
        <f>HYPERLINK("http://sedek.ru/upload/iblock/512/giliya_orfey.jpg","фото")</f>
        <v>фото</v>
      </c>
      <c r="C2625" s="38"/>
      <c r="D2625" s="38"/>
      <c r="E2625" s="39"/>
      <c r="F2625" s="39" t="s">
        <v>3230</v>
      </c>
      <c r="G2625" s="44">
        <v>0.2</v>
      </c>
      <c r="H2625" s="39" t="s">
        <v>101</v>
      </c>
      <c r="I2625" s="39" t="s">
        <v>102</v>
      </c>
      <c r="J2625" s="41">
        <v>2500</v>
      </c>
      <c r="K2625" s="42">
        <v>21.4</v>
      </c>
      <c r="L2625" s="43"/>
      <c r="M2625" s="43">
        <f>L2625*K2625</f>
        <v>0</v>
      </c>
      <c r="N2625" s="35">
        <v>4607116263938</v>
      </c>
    </row>
    <row r="2626" spans="1:14" ht="36" customHeight="1" outlineLevel="3" x14ac:dyDescent="0.2">
      <c r="A2626" s="45">
        <v>14965</v>
      </c>
      <c r="B2626" s="37" t="str">
        <f>HYPERLINK("http://sedek.ru/upload/iblock/dac/gipsofila_akulina.jpg","фото")</f>
        <v>фото</v>
      </c>
      <c r="C2626" s="38"/>
      <c r="D2626" s="38"/>
      <c r="E2626" s="39"/>
      <c r="F2626" s="39" t="s">
        <v>3231</v>
      </c>
      <c r="G2626" s="54">
        <v>0.05</v>
      </c>
      <c r="H2626" s="39" t="s">
        <v>101</v>
      </c>
      <c r="I2626" s="39" t="s">
        <v>102</v>
      </c>
      <c r="J2626" s="41">
        <v>3000</v>
      </c>
      <c r="K2626" s="42">
        <v>28.8</v>
      </c>
      <c r="L2626" s="43"/>
      <c r="M2626" s="43">
        <f>L2626*K2626</f>
        <v>0</v>
      </c>
      <c r="N2626" s="35">
        <v>4690368018128</v>
      </c>
    </row>
    <row r="2627" spans="1:14" ht="24" customHeight="1" outlineLevel="3" x14ac:dyDescent="0.2">
      <c r="A2627" s="46">
        <v>14513</v>
      </c>
      <c r="B2627" s="47" t="str">
        <f>HYPERLINK("http://sedek.ru/upload/iblock/6cc/gipsofila_izvayanie.jpg","фото")</f>
        <v>фото</v>
      </c>
      <c r="C2627" s="48"/>
      <c r="D2627" s="48"/>
      <c r="E2627" s="49"/>
      <c r="F2627" s="49" t="s">
        <v>3232</v>
      </c>
      <c r="G2627" s="56">
        <v>0.2</v>
      </c>
      <c r="H2627" s="49" t="s">
        <v>101</v>
      </c>
      <c r="I2627" s="49" t="s">
        <v>102</v>
      </c>
      <c r="J2627" s="51">
        <v>3000</v>
      </c>
      <c r="K2627" s="52">
        <v>20.3</v>
      </c>
      <c r="L2627" s="53"/>
      <c r="M2627" s="53">
        <f>L2627*K2627</f>
        <v>0</v>
      </c>
      <c r="N2627" s="35">
        <v>4607116263952</v>
      </c>
    </row>
    <row r="2628" spans="1:14" ht="24" customHeight="1" outlineLevel="3" x14ac:dyDescent="0.2">
      <c r="A2628" s="46">
        <v>16415</v>
      </c>
      <c r="B2628" s="47" t="str">
        <f>HYPERLINK("http://sedek.ru/upload/iblock/78d/gipsofila_rozovaya_dymka.jpg","фото")</f>
        <v>фото</v>
      </c>
      <c r="C2628" s="48"/>
      <c r="D2628" s="48"/>
      <c r="E2628" s="49"/>
      <c r="F2628" s="49" t="s">
        <v>3233</v>
      </c>
      <c r="G2628" s="56">
        <v>0.2</v>
      </c>
      <c r="H2628" s="49" t="s">
        <v>101</v>
      </c>
      <c r="I2628" s="49" t="s">
        <v>102</v>
      </c>
      <c r="J2628" s="51">
        <v>3000</v>
      </c>
      <c r="K2628" s="52">
        <v>21.5</v>
      </c>
      <c r="L2628" s="53"/>
      <c r="M2628" s="53">
        <f>L2628*K2628</f>
        <v>0</v>
      </c>
      <c r="N2628" s="35">
        <v>4607116263976</v>
      </c>
    </row>
    <row r="2629" spans="1:14" ht="24" customHeight="1" outlineLevel="3" x14ac:dyDescent="0.2">
      <c r="A2629" s="45">
        <v>15231</v>
      </c>
      <c r="B2629" s="37" t="str">
        <f>HYPERLINK("http://www.sedek.ru/upload/iblock/964/godetsiya_amazonka_krupnotsvetkovaya_azalievidnaya_smes.jpg","Фото")</f>
        <v>Фото</v>
      </c>
      <c r="C2629" s="38"/>
      <c r="D2629" s="38"/>
      <c r="E2629" s="39"/>
      <c r="F2629" s="39" t="s">
        <v>3234</v>
      </c>
      <c r="G2629" s="54">
        <v>0.15</v>
      </c>
      <c r="H2629" s="39" t="s">
        <v>101</v>
      </c>
      <c r="I2629" s="39" t="s">
        <v>102</v>
      </c>
      <c r="J2629" s="41">
        <v>5000</v>
      </c>
      <c r="K2629" s="42">
        <v>21.4</v>
      </c>
      <c r="L2629" s="43"/>
      <c r="M2629" s="43">
        <f>L2629*K2629</f>
        <v>0</v>
      </c>
      <c r="N2629" s="35">
        <v>4607149407736</v>
      </c>
    </row>
    <row r="2630" spans="1:14" ht="36" customHeight="1" outlineLevel="3" x14ac:dyDescent="0.2">
      <c r="A2630" s="45">
        <v>14725</v>
      </c>
      <c r="B2630" s="37" t="str">
        <f>HYPERLINK("http://sedek.ru/upload/iblock/20f/godetsiya_vasilinka.jpg","фото")</f>
        <v>фото</v>
      </c>
      <c r="C2630" s="38"/>
      <c r="D2630" s="38"/>
      <c r="E2630" s="39"/>
      <c r="F2630" s="39" t="s">
        <v>3235</v>
      </c>
      <c r="G2630" s="54">
        <v>0.15</v>
      </c>
      <c r="H2630" s="39" t="s">
        <v>101</v>
      </c>
      <c r="I2630" s="39" t="s">
        <v>102</v>
      </c>
      <c r="J2630" s="41">
        <v>5000</v>
      </c>
      <c r="K2630" s="42">
        <v>21.4</v>
      </c>
      <c r="L2630" s="43"/>
      <c r="M2630" s="43">
        <f>L2630*K2630</f>
        <v>0</v>
      </c>
      <c r="N2630" s="35">
        <v>4690368010306</v>
      </c>
    </row>
    <row r="2631" spans="1:14" ht="36" customHeight="1" outlineLevel="3" x14ac:dyDescent="0.2">
      <c r="A2631" s="45">
        <v>13820</v>
      </c>
      <c r="B2631" s="37" t="str">
        <f>HYPERLINK("http://www.sedek.ru/upload/iblock/6c3/godetsiya_vdokhnovenie_krupnotsvetkovaya_smes.jpg","фото")</f>
        <v>фото</v>
      </c>
      <c r="C2631" s="38"/>
      <c r="D2631" s="38"/>
      <c r="E2631" s="39"/>
      <c r="F2631" s="39" t="s">
        <v>3236</v>
      </c>
      <c r="G2631" s="54">
        <v>0.15</v>
      </c>
      <c r="H2631" s="39" t="s">
        <v>101</v>
      </c>
      <c r="I2631" s="39" t="s">
        <v>102</v>
      </c>
      <c r="J2631" s="41">
        <v>5000</v>
      </c>
      <c r="K2631" s="42">
        <v>21.4</v>
      </c>
      <c r="L2631" s="43"/>
      <c r="M2631" s="43">
        <f>L2631*K2631</f>
        <v>0</v>
      </c>
      <c r="N2631" s="35">
        <v>4607149407750</v>
      </c>
    </row>
    <row r="2632" spans="1:14" ht="36" customHeight="1" outlineLevel="3" x14ac:dyDescent="0.2">
      <c r="A2632" s="45">
        <v>15102</v>
      </c>
      <c r="B2632" s="37" t="str">
        <f>HYPERLINK("http://sedek.ru/upload/iblock/20d/godetsiya_katerina_smes.jpg","фото")</f>
        <v>фото</v>
      </c>
      <c r="C2632" s="38"/>
      <c r="D2632" s="38"/>
      <c r="E2632" s="39"/>
      <c r="F2632" s="39" t="s">
        <v>3237</v>
      </c>
      <c r="G2632" s="54">
        <v>0.15</v>
      </c>
      <c r="H2632" s="39" t="s">
        <v>101</v>
      </c>
      <c r="I2632" s="39" t="s">
        <v>102</v>
      </c>
      <c r="J2632" s="41">
        <v>5000</v>
      </c>
      <c r="K2632" s="42">
        <v>21.4</v>
      </c>
      <c r="L2632" s="43"/>
      <c r="M2632" s="43">
        <f>L2632*K2632</f>
        <v>0</v>
      </c>
      <c r="N2632" s="35">
        <v>4607149407774</v>
      </c>
    </row>
    <row r="2633" spans="1:14" ht="36" customHeight="1" outlineLevel="3" x14ac:dyDescent="0.2">
      <c r="A2633" s="45">
        <v>13967</v>
      </c>
      <c r="B2633" s="37" t="str">
        <f>HYPERLINK("http://sedek.ru/upload/iblock/70b/godetsiya_malika.jpg","фото")</f>
        <v>фото</v>
      </c>
      <c r="C2633" s="38"/>
      <c r="D2633" s="38"/>
      <c r="E2633" s="39"/>
      <c r="F2633" s="39" t="s">
        <v>3238</v>
      </c>
      <c r="G2633" s="44">
        <v>0.1</v>
      </c>
      <c r="H2633" s="39" t="s">
        <v>101</v>
      </c>
      <c r="I2633" s="39" t="s">
        <v>102</v>
      </c>
      <c r="J2633" s="41">
        <v>5000</v>
      </c>
      <c r="K2633" s="42">
        <v>21.4</v>
      </c>
      <c r="L2633" s="43"/>
      <c r="M2633" s="43">
        <f>L2633*K2633</f>
        <v>0</v>
      </c>
      <c r="N2633" s="35">
        <v>4607149404131</v>
      </c>
    </row>
    <row r="2634" spans="1:14" ht="24" customHeight="1" outlineLevel="3" x14ac:dyDescent="0.2">
      <c r="A2634" s="45">
        <v>14825</v>
      </c>
      <c r="B2634" s="37" t="str">
        <f>HYPERLINK("http://sedek.ru/upload/iblock/d2b/godetsiya_mariya.jpg","фото")</f>
        <v>фото</v>
      </c>
      <c r="C2634" s="38"/>
      <c r="D2634" s="38"/>
      <c r="E2634" s="39"/>
      <c r="F2634" s="39" t="s">
        <v>3239</v>
      </c>
      <c r="G2634" s="44">
        <v>0.2</v>
      </c>
      <c r="H2634" s="39" t="s">
        <v>101</v>
      </c>
      <c r="I2634" s="39" t="s">
        <v>102</v>
      </c>
      <c r="J2634" s="41">
        <v>5000</v>
      </c>
      <c r="K2634" s="42">
        <v>21.4</v>
      </c>
      <c r="L2634" s="43"/>
      <c r="M2634" s="43">
        <f>L2634*K2634</f>
        <v>0</v>
      </c>
      <c r="N2634" s="35">
        <v>4607116263983</v>
      </c>
    </row>
    <row r="2635" spans="1:14" ht="24" customHeight="1" outlineLevel="3" x14ac:dyDescent="0.2">
      <c r="A2635" s="45">
        <v>16404</v>
      </c>
      <c r="B2635" s="37" t="str">
        <f>HYPERLINK("http://sedek.ru/upload/iblock/1ff/godetsiya_porkhayushchie_babochki.jpg","фото")</f>
        <v>фото</v>
      </c>
      <c r="C2635" s="38"/>
      <c r="D2635" s="38"/>
      <c r="E2635" s="39"/>
      <c r="F2635" s="39" t="s">
        <v>3240</v>
      </c>
      <c r="G2635" s="44">
        <v>0.1</v>
      </c>
      <c r="H2635" s="39" t="s">
        <v>101</v>
      </c>
      <c r="I2635" s="39" t="s">
        <v>102</v>
      </c>
      <c r="J2635" s="41">
        <v>5000</v>
      </c>
      <c r="K2635" s="42">
        <v>21.4</v>
      </c>
      <c r="L2635" s="43"/>
      <c r="M2635" s="43">
        <f>L2635*K2635</f>
        <v>0</v>
      </c>
      <c r="N2635" s="35">
        <v>4607149401109</v>
      </c>
    </row>
    <row r="2636" spans="1:14" ht="24" customHeight="1" outlineLevel="3" x14ac:dyDescent="0.2">
      <c r="A2636" s="45">
        <v>13784</v>
      </c>
      <c r="B2636" s="37" t="str">
        <f>HYPERLINK("http://sedek.ru/upload/iblock/ee0/gomfrena_zemlyanichnaya_polyana.jpg","фото")</f>
        <v>фото</v>
      </c>
      <c r="C2636" s="38"/>
      <c r="D2636" s="38"/>
      <c r="E2636" s="39"/>
      <c r="F2636" s="39" t="s">
        <v>3241</v>
      </c>
      <c r="G2636" s="44">
        <v>0.1</v>
      </c>
      <c r="H2636" s="39" t="s">
        <v>101</v>
      </c>
      <c r="I2636" s="39" t="s">
        <v>102</v>
      </c>
      <c r="J2636" s="41">
        <v>4000</v>
      </c>
      <c r="K2636" s="42">
        <v>43.9</v>
      </c>
      <c r="L2636" s="43"/>
      <c r="M2636" s="43">
        <f>L2636*K2636</f>
        <v>0</v>
      </c>
      <c r="N2636" s="35">
        <v>4607116263990</v>
      </c>
    </row>
    <row r="2637" spans="1:14" ht="24" customHeight="1" outlineLevel="3" x14ac:dyDescent="0.2">
      <c r="A2637" s="45">
        <v>16303</v>
      </c>
      <c r="B2637" s="37" t="str">
        <f>HYPERLINK("http://sedek.ru/upload/iblock/199/gomfrena_pompon_smes.jpg","фото")</f>
        <v>фото</v>
      </c>
      <c r="C2637" s="38"/>
      <c r="D2637" s="38"/>
      <c r="E2637" s="39"/>
      <c r="F2637" s="39" t="s">
        <v>3242</v>
      </c>
      <c r="G2637" s="44">
        <v>0.1</v>
      </c>
      <c r="H2637" s="39" t="s">
        <v>101</v>
      </c>
      <c r="I2637" s="39" t="s">
        <v>102</v>
      </c>
      <c r="J2637" s="41">
        <v>4000</v>
      </c>
      <c r="K2637" s="42">
        <v>21.4</v>
      </c>
      <c r="L2637" s="43"/>
      <c r="M2637" s="43">
        <f>L2637*K2637</f>
        <v>0</v>
      </c>
      <c r="N2637" s="35">
        <v>4607116264003</v>
      </c>
    </row>
    <row r="2638" spans="1:14" ht="24" customHeight="1" outlineLevel="3" x14ac:dyDescent="0.2">
      <c r="A2638" s="45">
        <v>16163</v>
      </c>
      <c r="B2638" s="37" t="str">
        <f>HYPERLINK("http://sedek.ru/upload/iblock/e1f/gorets_ametistovaya_kroshka.jpg","фото")</f>
        <v>фото</v>
      </c>
      <c r="C2638" s="38"/>
      <c r="D2638" s="38"/>
      <c r="E2638" s="39"/>
      <c r="F2638" s="39" t="s">
        <v>3243</v>
      </c>
      <c r="G2638" s="44">
        <v>0.1</v>
      </c>
      <c r="H2638" s="39" t="s">
        <v>101</v>
      </c>
      <c r="I2638" s="39" t="s">
        <v>102</v>
      </c>
      <c r="J2638" s="41">
        <v>3000</v>
      </c>
      <c r="K2638" s="42">
        <v>33.799999999999997</v>
      </c>
      <c r="L2638" s="43"/>
      <c r="M2638" s="43">
        <f>L2638*K2638</f>
        <v>0</v>
      </c>
      <c r="N2638" s="35">
        <v>4607116264010</v>
      </c>
    </row>
    <row r="2639" spans="1:14" ht="24" customHeight="1" outlineLevel="3" x14ac:dyDescent="0.2">
      <c r="A2639" s="45">
        <v>15088</v>
      </c>
      <c r="B2639" s="37" t="str">
        <f>HYPERLINK("http://sedek.ru/upload/iblock/bce/gravilat_rigoletto.jpg","фото")</f>
        <v>фото</v>
      </c>
      <c r="C2639" s="38"/>
      <c r="D2639" s="38"/>
      <c r="E2639" s="39"/>
      <c r="F2639" s="39" t="s">
        <v>3244</v>
      </c>
      <c r="G2639" s="44">
        <v>0.1</v>
      </c>
      <c r="H2639" s="39" t="s">
        <v>101</v>
      </c>
      <c r="I2639" s="39" t="s">
        <v>102</v>
      </c>
      <c r="J2639" s="41">
        <v>3500</v>
      </c>
      <c r="K2639" s="42">
        <v>28.8</v>
      </c>
      <c r="L2639" s="43"/>
      <c r="M2639" s="43">
        <f>L2639*K2639</f>
        <v>0</v>
      </c>
      <c r="N2639" s="35">
        <v>4607116264027</v>
      </c>
    </row>
    <row r="2640" spans="1:14" ht="24" customHeight="1" outlineLevel="3" x14ac:dyDescent="0.2">
      <c r="A2640" s="46">
        <v>14337</v>
      </c>
      <c r="B2640" s="47" t="str">
        <f>HYPERLINK("http://sedek.ru/upload/iblock/987/gravilat_tinkerbell_chiliyskiy.jpg","фото")</f>
        <v>фото</v>
      </c>
      <c r="C2640" s="48"/>
      <c r="D2640" s="48"/>
      <c r="E2640" s="49"/>
      <c r="F2640" s="49" t="s">
        <v>3245</v>
      </c>
      <c r="G2640" s="56">
        <v>0.1</v>
      </c>
      <c r="H2640" s="49" t="s">
        <v>101</v>
      </c>
      <c r="I2640" s="49" t="s">
        <v>102</v>
      </c>
      <c r="J2640" s="51">
        <v>3500</v>
      </c>
      <c r="K2640" s="52">
        <v>31.5</v>
      </c>
      <c r="L2640" s="53"/>
      <c r="M2640" s="53">
        <f>L2640*K2640</f>
        <v>0</v>
      </c>
      <c r="N2640" s="35">
        <v>4607116264034</v>
      </c>
    </row>
    <row r="2641" spans="1:14" ht="24" customHeight="1" outlineLevel="3" x14ac:dyDescent="0.2">
      <c r="A2641" s="45">
        <v>14702</v>
      </c>
      <c r="B2641" s="37" t="str">
        <f>HYPERLINK("http://sedek.ru/upload/iblock/da5/datura_medeya.jpg","фото")</f>
        <v>фото</v>
      </c>
      <c r="C2641" s="38"/>
      <c r="D2641" s="38"/>
      <c r="E2641" s="39"/>
      <c r="F2641" s="39" t="s">
        <v>3246</v>
      </c>
      <c r="G2641" s="44">
        <v>0.5</v>
      </c>
      <c r="H2641" s="39" t="s">
        <v>101</v>
      </c>
      <c r="I2641" s="39" t="s">
        <v>102</v>
      </c>
      <c r="J2641" s="41">
        <v>2500</v>
      </c>
      <c r="K2641" s="42">
        <v>96.1</v>
      </c>
      <c r="L2641" s="43"/>
      <c r="M2641" s="43">
        <f>L2641*K2641</f>
        <v>0</v>
      </c>
      <c r="N2641" s="35">
        <v>4607116264058</v>
      </c>
    </row>
    <row r="2642" spans="1:14" ht="24" customHeight="1" outlineLevel="3" x14ac:dyDescent="0.2">
      <c r="A2642" s="45">
        <v>14050</v>
      </c>
      <c r="B2642" s="37" t="str">
        <f>HYPERLINK("http://sedek.ru/upload/iblock/0c2/delosperma_zvezdochet.jpg","фото")</f>
        <v>фото</v>
      </c>
      <c r="C2642" s="38"/>
      <c r="D2642" s="38"/>
      <c r="E2642" s="39"/>
      <c r="F2642" s="39" t="s">
        <v>3247</v>
      </c>
      <c r="G2642" s="54">
        <v>0.02</v>
      </c>
      <c r="H2642" s="39" t="s">
        <v>101</v>
      </c>
      <c r="I2642" s="39" t="s">
        <v>102</v>
      </c>
      <c r="J2642" s="41">
        <v>2500</v>
      </c>
      <c r="K2642" s="42">
        <v>116.6</v>
      </c>
      <c r="L2642" s="43"/>
      <c r="M2642" s="43">
        <f>L2642*K2642</f>
        <v>0</v>
      </c>
      <c r="N2642" s="35">
        <v>4607149403899</v>
      </c>
    </row>
    <row r="2643" spans="1:14" ht="36" customHeight="1" outlineLevel="3" x14ac:dyDescent="0.2">
      <c r="A2643" s="45">
        <v>14795</v>
      </c>
      <c r="B2643" s="37" t="str">
        <f>HYPERLINK("http://sedek.ru/upload/iblock/307/delfinium_astolat.jpg","фото")</f>
        <v>фото</v>
      </c>
      <c r="C2643" s="38"/>
      <c r="D2643" s="38"/>
      <c r="E2643" s="39"/>
      <c r="F2643" s="39" t="s">
        <v>3248</v>
      </c>
      <c r="G2643" s="44">
        <v>0.1</v>
      </c>
      <c r="H2643" s="39" t="s">
        <v>101</v>
      </c>
      <c r="I2643" s="39" t="s">
        <v>102</v>
      </c>
      <c r="J2643" s="41">
        <v>3000</v>
      </c>
      <c r="K2643" s="42">
        <v>47.8</v>
      </c>
      <c r="L2643" s="43"/>
      <c r="M2643" s="43">
        <f>L2643*K2643</f>
        <v>0</v>
      </c>
      <c r="N2643" s="35">
        <v>4607116264065</v>
      </c>
    </row>
    <row r="2644" spans="1:14" ht="24" customHeight="1" outlineLevel="3" x14ac:dyDescent="0.2">
      <c r="A2644" s="45">
        <v>14700</v>
      </c>
      <c r="B2644" s="37" t="str">
        <f>HYPERLINK("http://www.sedek.ru/upload/iblock/c13/delfinium_ayaks_giatsintotsvetkovaya_smes.JPG","фото")</f>
        <v>фото</v>
      </c>
      <c r="C2644" s="38"/>
      <c r="D2644" s="38"/>
      <c r="E2644" s="39"/>
      <c r="F2644" s="39" t="s">
        <v>3249</v>
      </c>
      <c r="G2644" s="44">
        <v>0.1</v>
      </c>
      <c r="H2644" s="39" t="s">
        <v>101</v>
      </c>
      <c r="I2644" s="39" t="s">
        <v>102</v>
      </c>
      <c r="J2644" s="41">
        <v>3000</v>
      </c>
      <c r="K2644" s="42">
        <v>21.4</v>
      </c>
      <c r="L2644" s="43"/>
      <c r="M2644" s="43">
        <f>L2644*K2644</f>
        <v>0</v>
      </c>
      <c r="N2644" s="35">
        <v>4607149401116</v>
      </c>
    </row>
    <row r="2645" spans="1:14" ht="36" customHeight="1" outlineLevel="3" x14ac:dyDescent="0.2">
      <c r="A2645" s="45">
        <v>15432</v>
      </c>
      <c r="B2645" s="37" t="str">
        <f>HYPERLINK("http://sedek.ru/upload/iblock/803/delfinium_zhunever.jpg","фото")</f>
        <v>фото</v>
      </c>
      <c r="C2645" s="38"/>
      <c r="D2645" s="38"/>
      <c r="E2645" s="39"/>
      <c r="F2645" s="39" t="s">
        <v>3250</v>
      </c>
      <c r="G2645" s="44">
        <v>0.1</v>
      </c>
      <c r="H2645" s="39" t="s">
        <v>101</v>
      </c>
      <c r="I2645" s="39" t="s">
        <v>102</v>
      </c>
      <c r="J2645" s="41">
        <v>3000</v>
      </c>
      <c r="K2645" s="42">
        <v>44.5</v>
      </c>
      <c r="L2645" s="43"/>
      <c r="M2645" s="43">
        <f>L2645*K2645</f>
        <v>0</v>
      </c>
      <c r="N2645" s="35">
        <v>4607116264072</v>
      </c>
    </row>
    <row r="2646" spans="1:14" ht="36" customHeight="1" outlineLevel="3" x14ac:dyDescent="0.2">
      <c r="A2646" s="45">
        <v>13551</v>
      </c>
      <c r="B2646" s="37" t="str">
        <f>HYPERLINK("http://sedek.ru/upload/iblock/91e/delfinium_imperial_smes.jpg","фото")</f>
        <v>фото</v>
      </c>
      <c r="C2646" s="38"/>
      <c r="D2646" s="38"/>
      <c r="E2646" s="39"/>
      <c r="F2646" s="39" t="s">
        <v>3251</v>
      </c>
      <c r="G2646" s="44">
        <v>0.5</v>
      </c>
      <c r="H2646" s="39" t="s">
        <v>101</v>
      </c>
      <c r="I2646" s="39" t="s">
        <v>102</v>
      </c>
      <c r="J2646" s="41">
        <v>3000</v>
      </c>
      <c r="K2646" s="42">
        <v>26.6</v>
      </c>
      <c r="L2646" s="43"/>
      <c r="M2646" s="43">
        <f>L2646*K2646</f>
        <v>0</v>
      </c>
      <c r="N2646" s="35">
        <v>4607116264089</v>
      </c>
    </row>
    <row r="2647" spans="1:14" ht="36" customHeight="1" outlineLevel="3" x14ac:dyDescent="0.2">
      <c r="A2647" s="45">
        <v>15115</v>
      </c>
      <c r="B2647" s="37" t="str">
        <f>HYPERLINK("http://sedek.ru/upload/iblock/b44/delfinium_magicheskie_fontany.jpg","фото")</f>
        <v>фото</v>
      </c>
      <c r="C2647" s="38"/>
      <c r="D2647" s="38"/>
      <c r="E2647" s="39"/>
      <c r="F2647" s="39" t="s">
        <v>3252</v>
      </c>
      <c r="G2647" s="54">
        <v>0.05</v>
      </c>
      <c r="H2647" s="39" t="s">
        <v>101</v>
      </c>
      <c r="I2647" s="39" t="s">
        <v>102</v>
      </c>
      <c r="J2647" s="41">
        <v>3000</v>
      </c>
      <c r="K2647" s="42">
        <v>73.7</v>
      </c>
      <c r="L2647" s="43"/>
      <c r="M2647" s="43">
        <f>L2647*K2647</f>
        <v>0</v>
      </c>
      <c r="N2647" s="35">
        <v>4607149401123</v>
      </c>
    </row>
    <row r="2648" spans="1:14" ht="24" customHeight="1" outlineLevel="3" x14ac:dyDescent="0.2">
      <c r="A2648" s="45">
        <v>14941</v>
      </c>
      <c r="B2648" s="37" t="str">
        <f>HYPERLINK("http://sedek.ru/upload/iblock/9b1/delfinium_madagaskar.jpg","фото")</f>
        <v>фото</v>
      </c>
      <c r="C2648" s="38"/>
      <c r="D2648" s="38"/>
      <c r="E2648" s="39"/>
      <c r="F2648" s="39" t="s">
        <v>3253</v>
      </c>
      <c r="G2648" s="44">
        <v>0.1</v>
      </c>
      <c r="H2648" s="39" t="s">
        <v>101</v>
      </c>
      <c r="I2648" s="39" t="s">
        <v>102</v>
      </c>
      <c r="J2648" s="41">
        <v>3000</v>
      </c>
      <c r="K2648" s="42">
        <v>26.8</v>
      </c>
      <c r="L2648" s="43"/>
      <c r="M2648" s="43">
        <f>L2648*K2648</f>
        <v>0</v>
      </c>
      <c r="N2648" s="35">
        <v>4690368017909</v>
      </c>
    </row>
    <row r="2649" spans="1:14" ht="24" customHeight="1" outlineLevel="3" x14ac:dyDescent="0.2">
      <c r="A2649" s="45">
        <v>14098</v>
      </c>
      <c r="B2649" s="37" t="str">
        <f>HYPERLINK("http://sedek.ru/upload/iblock/b90/delfinium_patsifik.jpg","фото")</f>
        <v>фото</v>
      </c>
      <c r="C2649" s="38"/>
      <c r="D2649" s="38"/>
      <c r="E2649" s="39"/>
      <c r="F2649" s="39" t="s">
        <v>3254</v>
      </c>
      <c r="G2649" s="44">
        <v>0.2</v>
      </c>
      <c r="H2649" s="39" t="s">
        <v>101</v>
      </c>
      <c r="I2649" s="39" t="s">
        <v>102</v>
      </c>
      <c r="J2649" s="41">
        <v>3000</v>
      </c>
      <c r="K2649" s="42">
        <v>33.1</v>
      </c>
      <c r="L2649" s="43"/>
      <c r="M2649" s="43">
        <f>L2649*K2649</f>
        <v>0</v>
      </c>
      <c r="N2649" s="35">
        <v>4607116264102</v>
      </c>
    </row>
    <row r="2650" spans="1:14" ht="24" customHeight="1" outlineLevel="3" x14ac:dyDescent="0.2">
      <c r="A2650" s="45">
        <v>16199</v>
      </c>
      <c r="B2650" s="37" t="str">
        <f>HYPERLINK("http://sedek.ru/upload/iblock/8a5/delfinium_poker.jpg","фото")</f>
        <v>фото</v>
      </c>
      <c r="C2650" s="38"/>
      <c r="D2650" s="38"/>
      <c r="E2650" s="39"/>
      <c r="F2650" s="39" t="s">
        <v>3255</v>
      </c>
      <c r="G2650" s="44">
        <v>0.1</v>
      </c>
      <c r="H2650" s="39" t="s">
        <v>101</v>
      </c>
      <c r="I2650" s="39" t="s">
        <v>102</v>
      </c>
      <c r="J2650" s="41">
        <v>3000</v>
      </c>
      <c r="K2650" s="42">
        <v>21.4</v>
      </c>
      <c r="L2650" s="43"/>
      <c r="M2650" s="43">
        <f>L2650*K2650</f>
        <v>0</v>
      </c>
      <c r="N2650" s="35">
        <v>4607149407798</v>
      </c>
    </row>
    <row r="2651" spans="1:14" ht="24" customHeight="1" outlineLevel="3" x14ac:dyDescent="0.2">
      <c r="A2651" s="45">
        <v>16068</v>
      </c>
      <c r="B2651" s="37" t="str">
        <f>HYPERLINK("http://sedek.ru/upload/iblock/6d1/delfinium_portofino_smes.jpg","фото")</f>
        <v>фото</v>
      </c>
      <c r="C2651" s="38"/>
      <c r="D2651" s="38"/>
      <c r="E2651" s="39"/>
      <c r="F2651" s="39" t="s">
        <v>3256</v>
      </c>
      <c r="G2651" s="44">
        <v>0.1</v>
      </c>
      <c r="H2651" s="39" t="s">
        <v>101</v>
      </c>
      <c r="I2651" s="39" t="s">
        <v>102</v>
      </c>
      <c r="J2651" s="41">
        <v>3000</v>
      </c>
      <c r="K2651" s="42">
        <v>21.4</v>
      </c>
      <c r="L2651" s="43"/>
      <c r="M2651" s="43">
        <f>L2651*K2651</f>
        <v>0</v>
      </c>
      <c r="N2651" s="35">
        <v>4607149407804</v>
      </c>
    </row>
    <row r="2652" spans="1:14" ht="24" customHeight="1" outlineLevel="3" x14ac:dyDescent="0.2">
      <c r="A2652" s="45">
        <v>17142</v>
      </c>
      <c r="B2652" s="37" t="str">
        <f>HYPERLINK("http://sedek.ru/upload/iblock/8e7/delfinium_sitsiliya.jpg","фото")</f>
        <v>фото</v>
      </c>
      <c r="C2652" s="38"/>
      <c r="D2652" s="38"/>
      <c r="E2652" s="39"/>
      <c r="F2652" s="39" t="s">
        <v>3257</v>
      </c>
      <c r="G2652" s="44">
        <v>0.3</v>
      </c>
      <c r="H2652" s="39" t="s">
        <v>101</v>
      </c>
      <c r="I2652" s="39" t="s">
        <v>102</v>
      </c>
      <c r="J2652" s="41">
        <v>3000</v>
      </c>
      <c r="K2652" s="42">
        <v>24.9</v>
      </c>
      <c r="L2652" s="43"/>
      <c r="M2652" s="43">
        <f>L2652*K2652</f>
        <v>0</v>
      </c>
      <c r="N2652" s="35">
        <v>4690368023511</v>
      </c>
    </row>
    <row r="2653" spans="1:14" ht="24" customHeight="1" outlineLevel="3" x14ac:dyDescent="0.2">
      <c r="A2653" s="45">
        <v>14942</v>
      </c>
      <c r="B2653" s="37" t="str">
        <f>HYPERLINK("http://sedek.ru/upload/iblock/457/delfinium_sudar.jpg","фото")</f>
        <v>фото</v>
      </c>
      <c r="C2653" s="38"/>
      <c r="D2653" s="38"/>
      <c r="E2653" s="39"/>
      <c r="F2653" s="39" t="s">
        <v>3258</v>
      </c>
      <c r="G2653" s="44">
        <v>0.1</v>
      </c>
      <c r="H2653" s="39" t="s">
        <v>101</v>
      </c>
      <c r="I2653" s="39" t="s">
        <v>102</v>
      </c>
      <c r="J2653" s="41">
        <v>3000</v>
      </c>
      <c r="K2653" s="42">
        <v>29.5</v>
      </c>
      <c r="L2653" s="43"/>
      <c r="M2653" s="43">
        <f>L2653*K2653</f>
        <v>0</v>
      </c>
      <c r="N2653" s="35">
        <v>4690368017916</v>
      </c>
    </row>
    <row r="2654" spans="1:14" ht="36" customHeight="1" outlineLevel="3" x14ac:dyDescent="0.2">
      <c r="A2654" s="45">
        <v>16021</v>
      </c>
      <c r="B2654" s="37" t="str">
        <f>HYPERLINK("http://sedek.ru/upload/iblock/508/delfinium_chyernyy_rytsar.jpg","фото")</f>
        <v>фото</v>
      </c>
      <c r="C2654" s="38"/>
      <c r="D2654" s="38"/>
      <c r="E2654" s="39"/>
      <c r="F2654" s="39" t="s">
        <v>3259</v>
      </c>
      <c r="G2654" s="44">
        <v>0.1</v>
      </c>
      <c r="H2654" s="39" t="s">
        <v>101</v>
      </c>
      <c r="I2654" s="39" t="s">
        <v>102</v>
      </c>
      <c r="J2654" s="41">
        <v>3000</v>
      </c>
      <c r="K2654" s="42">
        <v>38.200000000000003</v>
      </c>
      <c r="L2654" s="43"/>
      <c r="M2654" s="43">
        <f>L2654*K2654</f>
        <v>0</v>
      </c>
      <c r="N2654" s="35">
        <v>4607116264119</v>
      </c>
    </row>
    <row r="2655" spans="1:14" ht="24" customHeight="1" outlineLevel="3" x14ac:dyDescent="0.2">
      <c r="A2655" s="45">
        <v>14518</v>
      </c>
      <c r="B2655" s="37" t="str">
        <f>HYPERLINK("http://sedek.ru/upload/iblock/8a2/diastsiya_basya.jpg","фото")</f>
        <v>фото</v>
      </c>
      <c r="C2655" s="38"/>
      <c r="D2655" s="38"/>
      <c r="E2655" s="39"/>
      <c r="F2655" s="39" t="s">
        <v>3260</v>
      </c>
      <c r="G2655" s="54">
        <v>0.05</v>
      </c>
      <c r="H2655" s="39" t="s">
        <v>101</v>
      </c>
      <c r="I2655" s="39" t="s">
        <v>102</v>
      </c>
      <c r="J2655" s="41">
        <v>3000</v>
      </c>
      <c r="K2655" s="42">
        <v>35.799999999999997</v>
      </c>
      <c r="L2655" s="43"/>
      <c r="M2655" s="43">
        <f>L2655*K2655</f>
        <v>0</v>
      </c>
      <c r="N2655" s="35">
        <v>4607116264126</v>
      </c>
    </row>
    <row r="2656" spans="1:14" ht="24" customHeight="1" outlineLevel="3" x14ac:dyDescent="0.2">
      <c r="A2656" s="45">
        <v>16065</v>
      </c>
      <c r="B2656" s="37" t="str">
        <f>HYPERLINK("http://sedek.ru/upload/iblock/3fc/didiskus_olimpiy.jpg","фото")</f>
        <v>фото</v>
      </c>
      <c r="C2656" s="38"/>
      <c r="D2656" s="38"/>
      <c r="E2656" s="39"/>
      <c r="F2656" s="39" t="s">
        <v>3261</v>
      </c>
      <c r="G2656" s="54">
        <v>0.14000000000000001</v>
      </c>
      <c r="H2656" s="39" t="s">
        <v>101</v>
      </c>
      <c r="I2656" s="39" t="s">
        <v>102</v>
      </c>
      <c r="J2656" s="41">
        <v>3000</v>
      </c>
      <c r="K2656" s="42">
        <v>41.6</v>
      </c>
      <c r="L2656" s="43"/>
      <c r="M2656" s="43">
        <f>L2656*K2656</f>
        <v>0</v>
      </c>
      <c r="N2656" s="35">
        <v>4607149403912</v>
      </c>
    </row>
    <row r="2657" spans="1:14" ht="24" customHeight="1" outlineLevel="3" x14ac:dyDescent="0.2">
      <c r="A2657" s="45">
        <v>15095</v>
      </c>
      <c r="B2657" s="37" t="str">
        <f>HYPERLINK("http://sedek.ru/upload/iblock/d09/dimorfoteka_balet.jpg","фото")</f>
        <v>фото</v>
      </c>
      <c r="C2657" s="38"/>
      <c r="D2657" s="38"/>
      <c r="E2657" s="39"/>
      <c r="F2657" s="39" t="s">
        <v>3262</v>
      </c>
      <c r="G2657" s="44">
        <v>0.3</v>
      </c>
      <c r="H2657" s="39" t="s">
        <v>101</v>
      </c>
      <c r="I2657" s="39" t="s">
        <v>102</v>
      </c>
      <c r="J2657" s="41">
        <v>4000</v>
      </c>
      <c r="K2657" s="42">
        <v>29.3</v>
      </c>
      <c r="L2657" s="43"/>
      <c r="M2657" s="43">
        <f>L2657*K2657</f>
        <v>0</v>
      </c>
      <c r="N2657" s="35">
        <v>4607149403929</v>
      </c>
    </row>
    <row r="2658" spans="1:14" ht="36" customHeight="1" outlineLevel="3" x14ac:dyDescent="0.2">
      <c r="A2658" s="45">
        <v>14361</v>
      </c>
      <c r="B2658" s="37" t="str">
        <f>HYPERLINK("http://sedek.ru/upload/iblock/aed/dimorfoteka_karavan.jpg","фото")</f>
        <v>фото</v>
      </c>
      <c r="C2658" s="38"/>
      <c r="D2658" s="38"/>
      <c r="E2658" s="39"/>
      <c r="F2658" s="39" t="s">
        <v>3263</v>
      </c>
      <c r="G2658" s="44">
        <v>0.2</v>
      </c>
      <c r="H2658" s="39" t="s">
        <v>101</v>
      </c>
      <c r="I2658" s="39" t="s">
        <v>102</v>
      </c>
      <c r="J2658" s="41">
        <v>4000</v>
      </c>
      <c r="K2658" s="42">
        <v>21.4</v>
      </c>
      <c r="L2658" s="43"/>
      <c r="M2658" s="43">
        <f>L2658*K2658</f>
        <v>0</v>
      </c>
      <c r="N2658" s="35">
        <v>4607116264133</v>
      </c>
    </row>
    <row r="2659" spans="1:14" ht="24" customHeight="1" outlineLevel="3" x14ac:dyDescent="0.2">
      <c r="A2659" s="45">
        <v>14957</v>
      </c>
      <c r="B2659" s="37" t="str">
        <f>HYPERLINK("http://sedek.ru/upload/iblock/13d/dimorfoteka_snegurochka.jpg","фото")</f>
        <v>фото</v>
      </c>
      <c r="C2659" s="38"/>
      <c r="D2659" s="38"/>
      <c r="E2659" s="39"/>
      <c r="F2659" s="39" t="s">
        <v>3264</v>
      </c>
      <c r="G2659" s="44">
        <v>0.2</v>
      </c>
      <c r="H2659" s="39" t="s">
        <v>101</v>
      </c>
      <c r="I2659" s="39" t="s">
        <v>102</v>
      </c>
      <c r="J2659" s="41">
        <v>4000</v>
      </c>
      <c r="K2659" s="42">
        <v>24.9</v>
      </c>
      <c r="L2659" s="43"/>
      <c r="M2659" s="43">
        <f>L2659*K2659</f>
        <v>0</v>
      </c>
      <c r="N2659" s="35">
        <v>4690368018081</v>
      </c>
    </row>
    <row r="2660" spans="1:14" ht="24" customHeight="1" outlineLevel="3" x14ac:dyDescent="0.2">
      <c r="A2660" s="45">
        <v>14956</v>
      </c>
      <c r="B2660" s="37" t="str">
        <f>HYPERLINK("http://sedek.ru/upload/iblock/71f/dimorfoteka_khokhotushka.jpg","фото")</f>
        <v>фото</v>
      </c>
      <c r="C2660" s="38"/>
      <c r="D2660" s="38"/>
      <c r="E2660" s="39"/>
      <c r="F2660" s="39" t="s">
        <v>3265</v>
      </c>
      <c r="G2660" s="44">
        <v>0.2</v>
      </c>
      <c r="H2660" s="39" t="s">
        <v>101</v>
      </c>
      <c r="I2660" s="39" t="s">
        <v>102</v>
      </c>
      <c r="J2660" s="41">
        <v>4000</v>
      </c>
      <c r="K2660" s="42">
        <v>21.4</v>
      </c>
      <c r="L2660" s="43"/>
      <c r="M2660" s="43">
        <f>L2660*K2660</f>
        <v>0</v>
      </c>
      <c r="N2660" s="35">
        <v>4690368018074</v>
      </c>
    </row>
    <row r="2661" spans="1:14" ht="24" customHeight="1" outlineLevel="3" x14ac:dyDescent="0.2">
      <c r="A2661" s="45">
        <v>15138</v>
      </c>
      <c r="B2661" s="37" t="str">
        <f>HYPERLINK("http://sedek.ru/upload/iblock/9b8/dushistyy_goroshek_alye_parusa.jpg","фото")</f>
        <v>фото</v>
      </c>
      <c r="C2661" s="38"/>
      <c r="D2661" s="38"/>
      <c r="E2661" s="39"/>
      <c r="F2661" s="39" t="s">
        <v>3266</v>
      </c>
      <c r="G2661" s="40">
        <v>1</v>
      </c>
      <c r="H2661" s="39" t="s">
        <v>101</v>
      </c>
      <c r="I2661" s="39" t="s">
        <v>102</v>
      </c>
      <c r="J2661" s="41">
        <v>1500</v>
      </c>
      <c r="K2661" s="42">
        <v>37.5</v>
      </c>
      <c r="L2661" s="43"/>
      <c r="M2661" s="43">
        <f>L2661*K2661</f>
        <v>0</v>
      </c>
      <c r="N2661" s="35">
        <v>4607116264157</v>
      </c>
    </row>
    <row r="2662" spans="1:14" ht="36" customHeight="1" outlineLevel="3" x14ac:dyDescent="0.2">
      <c r="A2662" s="45">
        <v>14993</v>
      </c>
      <c r="B2662" s="37" t="str">
        <f>HYPERLINK("http://sedek.ru/upload/iblock/ac3/dushistyy_goroshek_amerikanets.jpg","фото")</f>
        <v>фото</v>
      </c>
      <c r="C2662" s="38"/>
      <c r="D2662" s="38"/>
      <c r="E2662" s="39"/>
      <c r="F2662" s="39" t="s">
        <v>3267</v>
      </c>
      <c r="G2662" s="44">
        <v>0.5</v>
      </c>
      <c r="H2662" s="39" t="s">
        <v>101</v>
      </c>
      <c r="I2662" s="39" t="s">
        <v>102</v>
      </c>
      <c r="J2662" s="41">
        <v>1500</v>
      </c>
      <c r="K2662" s="42">
        <v>31.2</v>
      </c>
      <c r="L2662" s="43"/>
      <c r="M2662" s="43">
        <f>L2662*K2662</f>
        <v>0</v>
      </c>
      <c r="N2662" s="35">
        <v>4690368018395</v>
      </c>
    </row>
    <row r="2663" spans="1:14" ht="36" customHeight="1" outlineLevel="3" x14ac:dyDescent="0.2">
      <c r="A2663" s="45">
        <v>15000</v>
      </c>
      <c r="B2663" s="37" t="str">
        <f>HYPERLINK("http://sedek.ru/upload/iblock/e8a/dushistyy_goroshek_bubenchik.jpg","фото")</f>
        <v>фото</v>
      </c>
      <c r="C2663" s="38"/>
      <c r="D2663" s="38"/>
      <c r="E2663" s="39"/>
      <c r="F2663" s="39" t="s">
        <v>3268</v>
      </c>
      <c r="G2663" s="44">
        <v>0.5</v>
      </c>
      <c r="H2663" s="39" t="s">
        <v>101</v>
      </c>
      <c r="I2663" s="39" t="s">
        <v>102</v>
      </c>
      <c r="J2663" s="41">
        <v>1500</v>
      </c>
      <c r="K2663" s="42">
        <v>41.1</v>
      </c>
      <c r="L2663" s="43"/>
      <c r="M2663" s="43">
        <f>L2663*K2663</f>
        <v>0</v>
      </c>
      <c r="N2663" s="35">
        <v>4690368018463</v>
      </c>
    </row>
    <row r="2664" spans="1:14" ht="24" customHeight="1" outlineLevel="3" x14ac:dyDescent="0.2">
      <c r="A2664" s="45">
        <v>14980</v>
      </c>
      <c r="B2664" s="37" t="str">
        <f>HYPERLINK("http://sedek.ru/upload/iblock/5a1/dushistyy_goroshek_venetsiya.jpg","фото")</f>
        <v>фото</v>
      </c>
      <c r="C2664" s="38"/>
      <c r="D2664" s="38"/>
      <c r="E2664" s="39"/>
      <c r="F2664" s="39" t="s">
        <v>3269</v>
      </c>
      <c r="G2664" s="40">
        <v>1</v>
      </c>
      <c r="H2664" s="39" t="s">
        <v>101</v>
      </c>
      <c r="I2664" s="39" t="s">
        <v>102</v>
      </c>
      <c r="J2664" s="41">
        <v>1500</v>
      </c>
      <c r="K2664" s="42">
        <v>23.5</v>
      </c>
      <c r="L2664" s="43"/>
      <c r="M2664" s="43">
        <f>L2664*K2664</f>
        <v>0</v>
      </c>
      <c r="N2664" s="35">
        <v>4690368018241</v>
      </c>
    </row>
    <row r="2665" spans="1:14" ht="24" customHeight="1" outlineLevel="3" x14ac:dyDescent="0.2">
      <c r="A2665" s="45">
        <v>14997</v>
      </c>
      <c r="B2665" s="37" t="str">
        <f>HYPERLINK("http://sedek.ru/upload/iblock/aa7/dushistyy_goroshek_veterok.jpg","фото")</f>
        <v>фото</v>
      </c>
      <c r="C2665" s="38"/>
      <c r="D2665" s="38"/>
      <c r="E2665" s="39"/>
      <c r="F2665" s="39" t="s">
        <v>3270</v>
      </c>
      <c r="G2665" s="44">
        <v>0.5</v>
      </c>
      <c r="H2665" s="39" t="s">
        <v>101</v>
      </c>
      <c r="I2665" s="39" t="s">
        <v>102</v>
      </c>
      <c r="J2665" s="41">
        <v>1500</v>
      </c>
      <c r="K2665" s="42">
        <v>40.200000000000003</v>
      </c>
      <c r="L2665" s="43"/>
      <c r="M2665" s="43">
        <f>L2665*K2665</f>
        <v>0</v>
      </c>
      <c r="N2665" s="35">
        <v>4690368018432</v>
      </c>
    </row>
    <row r="2666" spans="1:14" ht="24" customHeight="1" outlineLevel="3" x14ac:dyDescent="0.2">
      <c r="A2666" s="45">
        <v>16101</v>
      </c>
      <c r="B2666" s="37" t="str">
        <f>HYPERLINK("http://sedek.ru/upload/iblock/662/dushistyy_goroshek_vikont.jpg","фото")</f>
        <v>фото</v>
      </c>
      <c r="C2666" s="38"/>
      <c r="D2666" s="38"/>
      <c r="E2666" s="39"/>
      <c r="F2666" s="39" t="s">
        <v>3271</v>
      </c>
      <c r="G2666" s="40">
        <v>1</v>
      </c>
      <c r="H2666" s="39" t="s">
        <v>101</v>
      </c>
      <c r="I2666" s="39" t="s">
        <v>102</v>
      </c>
      <c r="J2666" s="41">
        <v>1500</v>
      </c>
      <c r="K2666" s="42">
        <v>31.2</v>
      </c>
      <c r="L2666" s="43"/>
      <c r="M2666" s="43">
        <f>L2666*K2666</f>
        <v>0</v>
      </c>
      <c r="N2666" s="35">
        <v>4607149401130</v>
      </c>
    </row>
    <row r="2667" spans="1:14" ht="24" customHeight="1" outlineLevel="3" x14ac:dyDescent="0.2">
      <c r="A2667" s="45">
        <v>14996</v>
      </c>
      <c r="B2667" s="37" t="str">
        <f>HYPERLINK("http://sedek.ru/upload/iblock/98f/dushistyy_goroshek_gladiator.jpg","фото")</f>
        <v>фото</v>
      </c>
      <c r="C2667" s="38"/>
      <c r="D2667" s="38"/>
      <c r="E2667" s="39"/>
      <c r="F2667" s="39" t="s">
        <v>3272</v>
      </c>
      <c r="G2667" s="44">
        <v>0.5</v>
      </c>
      <c r="H2667" s="39" t="s">
        <v>101</v>
      </c>
      <c r="I2667" s="39" t="s">
        <v>102</v>
      </c>
      <c r="J2667" s="41">
        <v>1500</v>
      </c>
      <c r="K2667" s="42">
        <v>37.700000000000003</v>
      </c>
      <c r="L2667" s="43"/>
      <c r="M2667" s="43">
        <f>L2667*K2667</f>
        <v>0</v>
      </c>
      <c r="N2667" s="35">
        <v>4690368018425</v>
      </c>
    </row>
    <row r="2668" spans="1:14" ht="36" customHeight="1" outlineLevel="3" x14ac:dyDescent="0.2">
      <c r="A2668" s="45">
        <v>16578</v>
      </c>
      <c r="B2668" s="37" t="str">
        <f>HYPERLINK("http://sedek.ru/upload/iblock/10d/dushistyy_goroshek_zhemchuzhnaya_rossyp.jpg","фото")</f>
        <v>фото</v>
      </c>
      <c r="C2668" s="38"/>
      <c r="D2668" s="38"/>
      <c r="E2668" s="39"/>
      <c r="F2668" s="39" t="s">
        <v>3273</v>
      </c>
      <c r="G2668" s="40">
        <v>1</v>
      </c>
      <c r="H2668" s="39" t="s">
        <v>101</v>
      </c>
      <c r="I2668" s="39" t="s">
        <v>102</v>
      </c>
      <c r="J2668" s="41">
        <v>1500</v>
      </c>
      <c r="K2668" s="42">
        <v>35.799999999999997</v>
      </c>
      <c r="L2668" s="43"/>
      <c r="M2668" s="43">
        <f>L2668*K2668</f>
        <v>0</v>
      </c>
      <c r="N2668" s="35">
        <v>4607149401147</v>
      </c>
    </row>
    <row r="2669" spans="1:14" ht="24" customHeight="1" outlineLevel="3" x14ac:dyDescent="0.2">
      <c r="A2669" s="45">
        <v>14986</v>
      </c>
      <c r="B2669" s="37" t="str">
        <f>HYPERLINK("http://sedek.ru/upload/iblock/4e5/dushistyy_goroshek_izyuminka.jpg","фото")</f>
        <v>фото</v>
      </c>
      <c r="C2669" s="38"/>
      <c r="D2669" s="38"/>
      <c r="E2669" s="39"/>
      <c r="F2669" s="39" t="s">
        <v>3274</v>
      </c>
      <c r="G2669" s="40">
        <v>1</v>
      </c>
      <c r="H2669" s="39" t="s">
        <v>101</v>
      </c>
      <c r="I2669" s="39" t="s">
        <v>102</v>
      </c>
      <c r="J2669" s="41">
        <v>1500</v>
      </c>
      <c r="K2669" s="42">
        <v>42.8</v>
      </c>
      <c r="L2669" s="43"/>
      <c r="M2669" s="43">
        <f>L2669*K2669</f>
        <v>0</v>
      </c>
      <c r="N2669" s="35">
        <v>4690368018302</v>
      </c>
    </row>
    <row r="2670" spans="1:14" ht="24" customHeight="1" outlineLevel="3" x14ac:dyDescent="0.2">
      <c r="A2670" s="45">
        <v>14981</v>
      </c>
      <c r="B2670" s="37" t="str">
        <f>HYPERLINK("http://sedek.ru/upload/iblock/3e5/dushistyy_goroshek_imperiya.jpg","фото")</f>
        <v>фото</v>
      </c>
      <c r="C2670" s="38"/>
      <c r="D2670" s="38"/>
      <c r="E2670" s="39"/>
      <c r="F2670" s="39" t="s">
        <v>3275</v>
      </c>
      <c r="G2670" s="40">
        <v>1</v>
      </c>
      <c r="H2670" s="39" t="s">
        <v>101</v>
      </c>
      <c r="I2670" s="39" t="s">
        <v>102</v>
      </c>
      <c r="J2670" s="41">
        <v>1500</v>
      </c>
      <c r="K2670" s="42">
        <v>23.5</v>
      </c>
      <c r="L2670" s="43"/>
      <c r="M2670" s="43">
        <f>L2670*K2670</f>
        <v>0</v>
      </c>
      <c r="N2670" s="35">
        <v>4690368018258</v>
      </c>
    </row>
    <row r="2671" spans="1:14" ht="24" customHeight="1" outlineLevel="3" x14ac:dyDescent="0.2">
      <c r="A2671" s="45">
        <v>16222</v>
      </c>
      <c r="B2671" s="37" t="str">
        <f>HYPERLINK("http://sedek.ru/upload/iblock/316/dushistyy_goroshek_kapri.jpg","фото")</f>
        <v>фото</v>
      </c>
      <c r="C2671" s="38"/>
      <c r="D2671" s="38"/>
      <c r="E2671" s="39"/>
      <c r="F2671" s="39" t="s">
        <v>3276</v>
      </c>
      <c r="G2671" s="40">
        <v>1</v>
      </c>
      <c r="H2671" s="39" t="s">
        <v>101</v>
      </c>
      <c r="I2671" s="39" t="s">
        <v>102</v>
      </c>
      <c r="J2671" s="41">
        <v>1500</v>
      </c>
      <c r="K2671" s="42">
        <v>33.1</v>
      </c>
      <c r="L2671" s="43"/>
      <c r="M2671" s="43">
        <f>L2671*K2671</f>
        <v>0</v>
      </c>
      <c r="N2671" s="35">
        <v>4607149401154</v>
      </c>
    </row>
    <row r="2672" spans="1:14" ht="24" customHeight="1" outlineLevel="3" x14ac:dyDescent="0.2">
      <c r="A2672" s="45">
        <v>14785</v>
      </c>
      <c r="B2672" s="37" t="str">
        <f>HYPERLINK("http://sedek.ru/upload/iblock/12a/dushistyy_goroshek_lemington.jpg","фото")</f>
        <v>фото</v>
      </c>
      <c r="C2672" s="38"/>
      <c r="D2672" s="38"/>
      <c r="E2672" s="39"/>
      <c r="F2672" s="39" t="s">
        <v>3277</v>
      </c>
      <c r="G2672" s="40">
        <v>1</v>
      </c>
      <c r="H2672" s="39" t="s">
        <v>101</v>
      </c>
      <c r="I2672" s="39" t="s">
        <v>102</v>
      </c>
      <c r="J2672" s="41">
        <v>1500</v>
      </c>
      <c r="K2672" s="42">
        <v>31.2</v>
      </c>
      <c r="L2672" s="43"/>
      <c r="M2672" s="43">
        <f>L2672*K2672</f>
        <v>0</v>
      </c>
      <c r="N2672" s="35">
        <v>4607149401161</v>
      </c>
    </row>
    <row r="2673" spans="1:14" ht="36" customHeight="1" outlineLevel="3" x14ac:dyDescent="0.2">
      <c r="A2673" s="45">
        <v>14990</v>
      </c>
      <c r="B2673" s="37" t="str">
        <f>HYPERLINK("http://sedek.ru/upload/iblock/4d8/dushistyy_goroshek_lukomore.jpg","фото")</f>
        <v>фото</v>
      </c>
      <c r="C2673" s="38"/>
      <c r="D2673" s="38"/>
      <c r="E2673" s="39"/>
      <c r="F2673" s="39" t="s">
        <v>3278</v>
      </c>
      <c r="G2673" s="44">
        <v>0.5</v>
      </c>
      <c r="H2673" s="39" t="s">
        <v>101</v>
      </c>
      <c r="I2673" s="39" t="s">
        <v>102</v>
      </c>
      <c r="J2673" s="41">
        <v>1500</v>
      </c>
      <c r="K2673" s="42">
        <v>62.3</v>
      </c>
      <c r="L2673" s="43"/>
      <c r="M2673" s="43">
        <f>L2673*K2673</f>
        <v>0</v>
      </c>
      <c r="N2673" s="35">
        <v>4690368018340</v>
      </c>
    </row>
    <row r="2674" spans="1:14" ht="24" customHeight="1" outlineLevel="3" x14ac:dyDescent="0.2">
      <c r="A2674" s="45">
        <v>14991</v>
      </c>
      <c r="B2674" s="37" t="str">
        <f>HYPERLINK("http://sedek.ru/upload/iblock/9e6/dushistyy_goroshek_metelitsa.jpg","фото")</f>
        <v>фото</v>
      </c>
      <c r="C2674" s="38"/>
      <c r="D2674" s="38"/>
      <c r="E2674" s="39"/>
      <c r="F2674" s="39" t="s">
        <v>3279</v>
      </c>
      <c r="G2674" s="44">
        <v>0.5</v>
      </c>
      <c r="H2674" s="39" t="s">
        <v>101</v>
      </c>
      <c r="I2674" s="39" t="s">
        <v>102</v>
      </c>
      <c r="J2674" s="41">
        <v>1500</v>
      </c>
      <c r="K2674" s="42">
        <v>62.3</v>
      </c>
      <c r="L2674" s="43"/>
      <c r="M2674" s="43">
        <f>L2674*K2674</f>
        <v>0</v>
      </c>
      <c r="N2674" s="35">
        <v>4690368018357</v>
      </c>
    </row>
    <row r="2675" spans="1:14" ht="24" customHeight="1" outlineLevel="3" x14ac:dyDescent="0.2">
      <c r="A2675" s="46">
        <v>13748</v>
      </c>
      <c r="B2675" s="47" t="str">
        <f>HYPERLINK("http://sedek.ru/upload/iblock/d19/dushistyy_goroshek_spenser_smes.jpg","фото")</f>
        <v>фото</v>
      </c>
      <c r="C2675" s="48"/>
      <c r="D2675" s="48"/>
      <c r="E2675" s="49"/>
      <c r="F2675" s="49" t="s">
        <v>3280</v>
      </c>
      <c r="G2675" s="50">
        <v>1</v>
      </c>
      <c r="H2675" s="49" t="s">
        <v>101</v>
      </c>
      <c r="I2675" s="49" t="s">
        <v>102</v>
      </c>
      <c r="J2675" s="51">
        <v>1500</v>
      </c>
      <c r="K2675" s="52">
        <v>23.7</v>
      </c>
      <c r="L2675" s="53"/>
      <c r="M2675" s="53">
        <f>L2675*K2675</f>
        <v>0</v>
      </c>
      <c r="N2675" s="35">
        <v>4607116264164</v>
      </c>
    </row>
    <row r="2676" spans="1:14" ht="36" customHeight="1" outlineLevel="3" x14ac:dyDescent="0.2">
      <c r="A2676" s="45">
        <v>14998</v>
      </c>
      <c r="B2676" s="37" t="str">
        <f>HYPERLINK("http://sedek.ru/upload/iblock/e99/dushistyy_goroshek_shokoladnyy_krem.jpg","фото")</f>
        <v>фото</v>
      </c>
      <c r="C2676" s="38"/>
      <c r="D2676" s="38"/>
      <c r="E2676" s="39"/>
      <c r="F2676" s="39" t="s">
        <v>3281</v>
      </c>
      <c r="G2676" s="44">
        <v>0.5</v>
      </c>
      <c r="H2676" s="39" t="s">
        <v>101</v>
      </c>
      <c r="I2676" s="39" t="s">
        <v>102</v>
      </c>
      <c r="J2676" s="41">
        <v>1500</v>
      </c>
      <c r="K2676" s="42">
        <v>29.3</v>
      </c>
      <c r="L2676" s="43"/>
      <c r="M2676" s="43">
        <f>L2676*K2676</f>
        <v>0</v>
      </c>
      <c r="N2676" s="35">
        <v>4690368018449</v>
      </c>
    </row>
    <row r="2677" spans="1:14" ht="24" customHeight="1" outlineLevel="3" x14ac:dyDescent="0.2">
      <c r="A2677" s="45">
        <v>15865</v>
      </c>
      <c r="B2677" s="37" t="str">
        <f>HYPERLINK("http://sedek.ru/upload/iblock/339/dushistyy_tabak_navazhdenie.jpg","фото")</f>
        <v>фото</v>
      </c>
      <c r="C2677" s="38"/>
      <c r="D2677" s="38"/>
      <c r="E2677" s="39"/>
      <c r="F2677" s="39" t="s">
        <v>3282</v>
      </c>
      <c r="G2677" s="44">
        <v>0.1</v>
      </c>
      <c r="H2677" s="39" t="s">
        <v>101</v>
      </c>
      <c r="I2677" s="39" t="s">
        <v>102</v>
      </c>
      <c r="J2677" s="41">
        <v>4000</v>
      </c>
      <c r="K2677" s="42">
        <v>24.9</v>
      </c>
      <c r="L2677" s="43"/>
      <c r="M2677" s="43">
        <f>L2677*K2677</f>
        <v>0</v>
      </c>
      <c r="N2677" s="35">
        <v>4607116264188</v>
      </c>
    </row>
    <row r="2678" spans="1:14" ht="24" customHeight="1" outlineLevel="3" x14ac:dyDescent="0.2">
      <c r="A2678" s="45">
        <v>14404</v>
      </c>
      <c r="B2678" s="37" t="str">
        <f>HYPERLINK("http://sedek.ru/upload/iblock/873/dushistyy_tabak_nyuans.jpg","фото")</f>
        <v>фото</v>
      </c>
      <c r="C2678" s="38"/>
      <c r="D2678" s="38"/>
      <c r="E2678" s="39"/>
      <c r="F2678" s="39" t="s">
        <v>3283</v>
      </c>
      <c r="G2678" s="44">
        <v>0.1</v>
      </c>
      <c r="H2678" s="39" t="s">
        <v>101</v>
      </c>
      <c r="I2678" s="39" t="s">
        <v>102</v>
      </c>
      <c r="J2678" s="41">
        <v>4000</v>
      </c>
      <c r="K2678" s="42">
        <v>21.4</v>
      </c>
      <c r="L2678" s="43"/>
      <c r="M2678" s="43">
        <f>L2678*K2678</f>
        <v>0</v>
      </c>
      <c r="N2678" s="35">
        <v>4607116264195</v>
      </c>
    </row>
    <row r="2679" spans="1:14" ht="36" customHeight="1" outlineLevel="3" x14ac:dyDescent="0.2">
      <c r="A2679" s="45">
        <v>16221</v>
      </c>
      <c r="B2679" s="37" t="str">
        <f>HYPERLINK("http://sedek.ru/upload/iblock/92e/dushistyy_tabak_sensatsiya_smes.jpg","фото")</f>
        <v>фото</v>
      </c>
      <c r="C2679" s="38"/>
      <c r="D2679" s="38"/>
      <c r="E2679" s="39"/>
      <c r="F2679" s="39" t="s">
        <v>3284</v>
      </c>
      <c r="G2679" s="44">
        <v>0.1</v>
      </c>
      <c r="H2679" s="39" t="s">
        <v>101</v>
      </c>
      <c r="I2679" s="39" t="s">
        <v>102</v>
      </c>
      <c r="J2679" s="41">
        <v>4000</v>
      </c>
      <c r="K2679" s="42">
        <v>21.4</v>
      </c>
      <c r="L2679" s="43"/>
      <c r="M2679" s="43">
        <f>L2679*K2679</f>
        <v>0</v>
      </c>
      <c r="N2679" s="35">
        <v>4607116264201</v>
      </c>
    </row>
    <row r="2680" spans="1:14" ht="24" customHeight="1" outlineLevel="3" x14ac:dyDescent="0.2">
      <c r="A2680" s="45">
        <v>14139</v>
      </c>
      <c r="B2680" s="37" t="str">
        <f>HYPERLINK("http://sedek.ru/upload/iblock/b28/dushistyy_tabak_todes.jpg","фото")</f>
        <v>фото</v>
      </c>
      <c r="C2680" s="38"/>
      <c r="D2680" s="38"/>
      <c r="E2680" s="39"/>
      <c r="F2680" s="39" t="s">
        <v>3285</v>
      </c>
      <c r="G2680" s="44">
        <v>0.1</v>
      </c>
      <c r="H2680" s="39" t="s">
        <v>101</v>
      </c>
      <c r="I2680" s="39" t="s">
        <v>102</v>
      </c>
      <c r="J2680" s="41">
        <v>4000</v>
      </c>
      <c r="K2680" s="42">
        <v>21.4</v>
      </c>
      <c r="L2680" s="43"/>
      <c r="M2680" s="43">
        <f>L2680*K2680</f>
        <v>0</v>
      </c>
      <c r="N2680" s="35">
        <v>4607116264218</v>
      </c>
    </row>
    <row r="2681" spans="1:14" ht="24" customHeight="1" outlineLevel="3" x14ac:dyDescent="0.2">
      <c r="A2681" s="45">
        <v>14822</v>
      </c>
      <c r="B2681" s="37" t="str">
        <f>HYPERLINK("http://sedek.ru/upload/iblock/cfe/zhakaranda_magdalena_mimozolistnaya.jpg","фото")</f>
        <v>фото</v>
      </c>
      <c r="C2681" s="38"/>
      <c r="D2681" s="38"/>
      <c r="E2681" s="39"/>
      <c r="F2681" s="39" t="s">
        <v>3286</v>
      </c>
      <c r="G2681" s="44">
        <v>0.1</v>
      </c>
      <c r="H2681" s="39" t="s">
        <v>101</v>
      </c>
      <c r="I2681" s="39" t="s">
        <v>102</v>
      </c>
      <c r="J2681" s="41">
        <v>5000</v>
      </c>
      <c r="K2681" s="42">
        <v>21.4</v>
      </c>
      <c r="L2681" s="43"/>
      <c r="M2681" s="43">
        <f>L2681*K2681</f>
        <v>0</v>
      </c>
      <c r="N2681" s="35">
        <v>4607116264225</v>
      </c>
    </row>
    <row r="2682" spans="1:14" ht="36" customHeight="1" outlineLevel="3" x14ac:dyDescent="0.2">
      <c r="A2682" s="45">
        <v>14458</v>
      </c>
      <c r="B2682" s="37" t="str">
        <f>HYPERLINK("http://sedek.ru/upload/iblock/a1a/zemlyanika_dyusheneya_indiyskaya_kudesnitsa_dekor_.jpg","фото")</f>
        <v>фото</v>
      </c>
      <c r="C2682" s="38"/>
      <c r="D2682" s="38"/>
      <c r="E2682" s="39"/>
      <c r="F2682" s="39" t="s">
        <v>3287</v>
      </c>
      <c r="G2682" s="54">
        <v>0.04</v>
      </c>
      <c r="H2682" s="39" t="s">
        <v>101</v>
      </c>
      <c r="I2682" s="39" t="s">
        <v>102</v>
      </c>
      <c r="J2682" s="41">
        <v>5000</v>
      </c>
      <c r="K2682" s="42">
        <v>30.03</v>
      </c>
      <c r="L2682" s="43"/>
      <c r="M2682" s="43">
        <f>L2682*K2682</f>
        <v>0</v>
      </c>
      <c r="N2682" s="35">
        <v>4607015186161</v>
      </c>
    </row>
    <row r="2683" spans="1:14" ht="24" customHeight="1" outlineLevel="3" x14ac:dyDescent="0.2">
      <c r="A2683" s="45">
        <v>14959</v>
      </c>
      <c r="B2683" s="37" t="str">
        <f>HYPERLINK("http://sedek.ru/upload/iblock/835/zmeegolovnik_moldaviya.jpg","фото")</f>
        <v>фото</v>
      </c>
      <c r="C2683" s="38"/>
      <c r="D2683" s="38"/>
      <c r="E2683" s="39"/>
      <c r="F2683" s="39" t="s">
        <v>3288</v>
      </c>
      <c r="G2683" s="44">
        <v>0.2</v>
      </c>
      <c r="H2683" s="39" t="s">
        <v>101</v>
      </c>
      <c r="I2683" s="39" t="s">
        <v>102</v>
      </c>
      <c r="J2683" s="41">
        <v>3000</v>
      </c>
      <c r="K2683" s="42">
        <v>28.2</v>
      </c>
      <c r="L2683" s="43"/>
      <c r="M2683" s="43">
        <f>L2683*K2683</f>
        <v>0</v>
      </c>
      <c r="N2683" s="35">
        <v>4690368018098</v>
      </c>
    </row>
    <row r="2684" spans="1:14" ht="24" customHeight="1" outlineLevel="3" x14ac:dyDescent="0.2">
      <c r="A2684" s="45">
        <v>15164</v>
      </c>
      <c r="B2684" s="37" t="str">
        <f>HYPERLINK("http://sedek.ru/upload/iblock/019/iberis_aleksandrit_gibraltarskiy.jpg","фото")</f>
        <v>фото</v>
      </c>
      <c r="C2684" s="38"/>
      <c r="D2684" s="38"/>
      <c r="E2684" s="39"/>
      <c r="F2684" s="39" t="s">
        <v>3289</v>
      </c>
      <c r="G2684" s="44">
        <v>0.1</v>
      </c>
      <c r="H2684" s="39" t="s">
        <v>101</v>
      </c>
      <c r="I2684" s="39" t="s">
        <v>102</v>
      </c>
      <c r="J2684" s="41">
        <v>3000</v>
      </c>
      <c r="K2684" s="42">
        <v>26.8</v>
      </c>
      <c r="L2684" s="43"/>
      <c r="M2684" s="43">
        <f>L2684*K2684</f>
        <v>0</v>
      </c>
      <c r="N2684" s="35">
        <v>4607116264232</v>
      </c>
    </row>
    <row r="2685" spans="1:14" ht="24" customHeight="1" outlineLevel="3" x14ac:dyDescent="0.2">
      <c r="A2685" s="45">
        <v>17147</v>
      </c>
      <c r="B2685" s="37" t="str">
        <f>HYPERLINK("http://sedek.ru/upload/iblock/9fc/iberis_garmoniya.jpg","фото")</f>
        <v>фото</v>
      </c>
      <c r="C2685" s="38"/>
      <c r="D2685" s="38"/>
      <c r="E2685" s="39"/>
      <c r="F2685" s="39" t="s">
        <v>3290</v>
      </c>
      <c r="G2685" s="44">
        <v>0.1</v>
      </c>
      <c r="H2685" s="39" t="s">
        <v>101</v>
      </c>
      <c r="I2685" s="39" t="s">
        <v>102</v>
      </c>
      <c r="J2685" s="41">
        <v>3000</v>
      </c>
      <c r="K2685" s="42">
        <v>26.6</v>
      </c>
      <c r="L2685" s="43"/>
      <c r="M2685" s="43">
        <f>L2685*K2685</f>
        <v>0</v>
      </c>
      <c r="N2685" s="35">
        <v>4690368023184</v>
      </c>
    </row>
    <row r="2686" spans="1:14" ht="24" customHeight="1" outlineLevel="3" x14ac:dyDescent="0.2">
      <c r="A2686" s="45">
        <v>17145</v>
      </c>
      <c r="B2686" s="37" t="str">
        <f>HYPERLINK("http://sedek.ru/upload/iblock/8fb/iberis_krasavchik.jpg","фото")</f>
        <v>фото</v>
      </c>
      <c r="C2686" s="38"/>
      <c r="D2686" s="38"/>
      <c r="E2686" s="39"/>
      <c r="F2686" s="39" t="s">
        <v>3291</v>
      </c>
      <c r="G2686" s="44">
        <v>0.2</v>
      </c>
      <c r="H2686" s="39" t="s">
        <v>101</v>
      </c>
      <c r="I2686" s="39" t="s">
        <v>102</v>
      </c>
      <c r="J2686" s="41">
        <v>3000</v>
      </c>
      <c r="K2686" s="42">
        <v>21.4</v>
      </c>
      <c r="L2686" s="43"/>
      <c r="M2686" s="43">
        <f>L2686*K2686</f>
        <v>0</v>
      </c>
      <c r="N2686" s="35">
        <v>4690368023177</v>
      </c>
    </row>
    <row r="2687" spans="1:14" ht="24" customHeight="1" outlineLevel="3" x14ac:dyDescent="0.2">
      <c r="A2687" s="45">
        <v>17146</v>
      </c>
      <c r="B2687" s="37" t="str">
        <f>HYPERLINK("http://sedek.ru/upload/iblock/fd5/iberis_medonos.jpg","фото")</f>
        <v>фото</v>
      </c>
      <c r="C2687" s="38"/>
      <c r="D2687" s="38"/>
      <c r="E2687" s="39"/>
      <c r="F2687" s="39" t="s">
        <v>3292</v>
      </c>
      <c r="G2687" s="44">
        <v>0.2</v>
      </c>
      <c r="H2687" s="39" t="s">
        <v>101</v>
      </c>
      <c r="I2687" s="39" t="s">
        <v>102</v>
      </c>
      <c r="J2687" s="41">
        <v>3000</v>
      </c>
      <c r="K2687" s="42">
        <v>28.8</v>
      </c>
      <c r="L2687" s="43"/>
      <c r="M2687" s="43">
        <f>L2687*K2687</f>
        <v>0</v>
      </c>
      <c r="N2687" s="35">
        <v>4690368023405</v>
      </c>
    </row>
    <row r="2688" spans="1:14" ht="24" customHeight="1" outlineLevel="3" x14ac:dyDescent="0.2">
      <c r="A2688" s="45">
        <v>17148</v>
      </c>
      <c r="B2688" s="37" t="str">
        <f>HYPERLINK("http://sedek.ru/upload/iblock/a9a/iberis_yuzhnyy_vecherok.jpg","фото")</f>
        <v>фото</v>
      </c>
      <c r="C2688" s="38"/>
      <c r="D2688" s="38"/>
      <c r="E2688" s="39"/>
      <c r="F2688" s="39" t="s">
        <v>3293</v>
      </c>
      <c r="G2688" s="44">
        <v>0.1</v>
      </c>
      <c r="H2688" s="39" t="s">
        <v>101</v>
      </c>
      <c r="I2688" s="39" t="s">
        <v>102</v>
      </c>
      <c r="J2688" s="41">
        <v>3000</v>
      </c>
      <c r="K2688" s="42">
        <v>26.6</v>
      </c>
      <c r="L2688" s="43"/>
      <c r="M2688" s="43">
        <f>L2688*K2688</f>
        <v>0</v>
      </c>
      <c r="N2688" s="35">
        <v>4690368023191</v>
      </c>
    </row>
    <row r="2689" spans="1:14" ht="24" customHeight="1" outlineLevel="3" x14ac:dyDescent="0.2">
      <c r="A2689" s="45">
        <v>14338</v>
      </c>
      <c r="B2689" s="37" t="str">
        <f>HYPERLINK("http://sedek.ru/upload/iblock/955/ipomeya_angelok.jpg","фото")</f>
        <v>фото</v>
      </c>
      <c r="C2689" s="38"/>
      <c r="D2689" s="38"/>
      <c r="E2689" s="39"/>
      <c r="F2689" s="39" t="s">
        <v>3294</v>
      </c>
      <c r="G2689" s="44">
        <v>0.5</v>
      </c>
      <c r="H2689" s="39" t="s">
        <v>101</v>
      </c>
      <c r="I2689" s="39" t="s">
        <v>102</v>
      </c>
      <c r="J2689" s="41">
        <v>2500</v>
      </c>
      <c r="K2689" s="42">
        <v>21.4</v>
      </c>
      <c r="L2689" s="43"/>
      <c r="M2689" s="43">
        <f>L2689*K2689</f>
        <v>0</v>
      </c>
      <c r="N2689" s="35">
        <v>4607116264263</v>
      </c>
    </row>
    <row r="2690" spans="1:14" ht="24" customHeight="1" outlineLevel="3" x14ac:dyDescent="0.2">
      <c r="A2690" s="45">
        <v>14450</v>
      </c>
      <c r="B2690" s="37" t="str">
        <f>HYPERLINK("http://sedek.ru/upload/iblock/23e/ipomeya_golubaya_zvezda.jpg","фото")</f>
        <v>фото</v>
      </c>
      <c r="C2690" s="38"/>
      <c r="D2690" s="38"/>
      <c r="E2690" s="39"/>
      <c r="F2690" s="39" t="s">
        <v>3295</v>
      </c>
      <c r="G2690" s="54">
        <v>0.25</v>
      </c>
      <c r="H2690" s="39" t="s">
        <v>101</v>
      </c>
      <c r="I2690" s="39" t="s">
        <v>102</v>
      </c>
      <c r="J2690" s="41">
        <v>2500</v>
      </c>
      <c r="K2690" s="42">
        <v>21.4</v>
      </c>
      <c r="L2690" s="43"/>
      <c r="M2690" s="43">
        <f>L2690*K2690</f>
        <v>0</v>
      </c>
      <c r="N2690" s="35">
        <v>4607116264270</v>
      </c>
    </row>
    <row r="2691" spans="1:14" ht="24" customHeight="1" outlineLevel="3" x14ac:dyDescent="0.2">
      <c r="A2691" s="45">
        <v>17151</v>
      </c>
      <c r="B2691" s="37" t="str">
        <f>HYPERLINK("http://sedek.ru/upload/iblock/44e/ipomeya_dodo.jpg","фото")</f>
        <v>фото</v>
      </c>
      <c r="C2691" s="38"/>
      <c r="D2691" s="38"/>
      <c r="E2691" s="39"/>
      <c r="F2691" s="39" t="s">
        <v>3296</v>
      </c>
      <c r="G2691" s="44">
        <v>0.2</v>
      </c>
      <c r="H2691" s="39" t="s">
        <v>101</v>
      </c>
      <c r="I2691" s="39" t="s">
        <v>102</v>
      </c>
      <c r="J2691" s="41">
        <v>2500</v>
      </c>
      <c r="K2691" s="42">
        <v>28.5</v>
      </c>
      <c r="L2691" s="43"/>
      <c r="M2691" s="43">
        <f>L2691*K2691</f>
        <v>0</v>
      </c>
      <c r="N2691" s="35">
        <v>4690368023221</v>
      </c>
    </row>
    <row r="2692" spans="1:14" ht="24" customHeight="1" outlineLevel="3" x14ac:dyDescent="0.2">
      <c r="A2692" s="45">
        <v>15418</v>
      </c>
      <c r="B2692" s="37" t="str">
        <f>HYPERLINK("http://sedek.ru/upload/iblock/9d9/ipomeya_zvonnitsa_smes.jpg","фото")</f>
        <v>фото</v>
      </c>
      <c r="C2692" s="38"/>
      <c r="D2692" s="38"/>
      <c r="E2692" s="39"/>
      <c r="F2692" s="39" t="s">
        <v>3297</v>
      </c>
      <c r="G2692" s="44">
        <v>0.5</v>
      </c>
      <c r="H2692" s="39" t="s">
        <v>101</v>
      </c>
      <c r="I2692" s="39" t="s">
        <v>102</v>
      </c>
      <c r="J2692" s="41">
        <v>2500</v>
      </c>
      <c r="K2692" s="42">
        <v>21.4</v>
      </c>
      <c r="L2692" s="43"/>
      <c r="M2692" s="43">
        <f>L2692*K2692</f>
        <v>0</v>
      </c>
      <c r="N2692" s="35">
        <v>4607116264287</v>
      </c>
    </row>
    <row r="2693" spans="1:14" ht="24" customHeight="1" outlineLevel="3" x14ac:dyDescent="0.2">
      <c r="A2693" s="45">
        <v>14975</v>
      </c>
      <c r="B2693" s="37" t="str">
        <f>HYPERLINK("http://sedek.ru/upload/iblock/148/ipomeya_kolombo.jpg","фото")</f>
        <v>фото</v>
      </c>
      <c r="C2693" s="38"/>
      <c r="D2693" s="38"/>
      <c r="E2693" s="39"/>
      <c r="F2693" s="39" t="s">
        <v>3298</v>
      </c>
      <c r="G2693" s="54">
        <v>0.25</v>
      </c>
      <c r="H2693" s="39" t="s">
        <v>101</v>
      </c>
      <c r="I2693" s="39" t="s">
        <v>102</v>
      </c>
      <c r="J2693" s="41">
        <v>2500</v>
      </c>
      <c r="K2693" s="42">
        <v>24.9</v>
      </c>
      <c r="L2693" s="43"/>
      <c r="M2693" s="43">
        <f>L2693*K2693</f>
        <v>0</v>
      </c>
      <c r="N2693" s="35">
        <v>4690368018203</v>
      </c>
    </row>
    <row r="2694" spans="1:14" ht="24" customHeight="1" outlineLevel="3" x14ac:dyDescent="0.2">
      <c r="A2694" s="45">
        <v>14970</v>
      </c>
      <c r="B2694" s="37" t="str">
        <f>HYPERLINK("http://sedek.ru/upload/iblock/6a6/ipomeya_malinovka.jpg","фото")</f>
        <v>фото</v>
      </c>
      <c r="C2694" s="38"/>
      <c r="D2694" s="38"/>
      <c r="E2694" s="39"/>
      <c r="F2694" s="39" t="s">
        <v>3299</v>
      </c>
      <c r="G2694" s="54">
        <v>0.25</v>
      </c>
      <c r="H2694" s="39" t="s">
        <v>101</v>
      </c>
      <c r="I2694" s="39" t="s">
        <v>102</v>
      </c>
      <c r="J2694" s="41">
        <v>2500</v>
      </c>
      <c r="K2694" s="42">
        <v>38</v>
      </c>
      <c r="L2694" s="43"/>
      <c r="M2694" s="43">
        <f>L2694*K2694</f>
        <v>0</v>
      </c>
      <c r="N2694" s="35">
        <v>4690368018166</v>
      </c>
    </row>
    <row r="2695" spans="1:14" ht="24" customHeight="1" outlineLevel="3" x14ac:dyDescent="0.2">
      <c r="A2695" s="45">
        <v>15984</v>
      </c>
      <c r="B2695" s="37" t="str">
        <f>HYPERLINK("http://sedek.ru/upload/iblock/37a/ipomeya_perli_geyts.jpg","фото")</f>
        <v>фото</v>
      </c>
      <c r="C2695" s="38"/>
      <c r="D2695" s="38"/>
      <c r="E2695" s="39"/>
      <c r="F2695" s="39" t="s">
        <v>3300</v>
      </c>
      <c r="G2695" s="44">
        <v>0.5</v>
      </c>
      <c r="H2695" s="39" t="s">
        <v>101</v>
      </c>
      <c r="I2695" s="39" t="s">
        <v>102</v>
      </c>
      <c r="J2695" s="41">
        <v>2500</v>
      </c>
      <c r="K2695" s="42">
        <v>24.9</v>
      </c>
      <c r="L2695" s="43"/>
      <c r="M2695" s="43">
        <f>L2695*K2695</f>
        <v>0</v>
      </c>
      <c r="N2695" s="35">
        <v>4607116264300</v>
      </c>
    </row>
    <row r="2696" spans="1:14" ht="24" customHeight="1" outlineLevel="3" x14ac:dyDescent="0.2">
      <c r="A2696" s="45">
        <v>30965</v>
      </c>
      <c r="B2696" s="37" t="str">
        <f>HYPERLINK("http://www.sedek.ru/upload/iblock/a75//ipomeya_raffels.jpg","фото")</f>
        <v>фото</v>
      </c>
      <c r="C2696" s="38"/>
      <c r="D2696" s="38"/>
      <c r="E2696" s="39"/>
      <c r="F2696" s="39" t="s">
        <v>3301</v>
      </c>
      <c r="G2696" s="54">
        <v>0.16</v>
      </c>
      <c r="H2696" s="39" t="s">
        <v>101</v>
      </c>
      <c r="I2696" s="39" t="s">
        <v>102</v>
      </c>
      <c r="J2696" s="41">
        <v>2500</v>
      </c>
      <c r="K2696" s="42">
        <v>23.3</v>
      </c>
      <c r="L2696" s="43"/>
      <c r="M2696" s="43">
        <f>L2696*K2696</f>
        <v>0</v>
      </c>
      <c r="N2696" s="35">
        <v>4690368027113</v>
      </c>
    </row>
    <row r="2697" spans="1:14" ht="24" customHeight="1" outlineLevel="3" x14ac:dyDescent="0.2">
      <c r="A2697" s="45">
        <v>15794</v>
      </c>
      <c r="B2697" s="37" t="str">
        <f>HYPERLINK("http://sedek.ru/upload/iblock/3bb/ipomeya_skarlet_o_khara.jpg","фото")</f>
        <v>фото</v>
      </c>
      <c r="C2697" s="38"/>
      <c r="D2697" s="38"/>
      <c r="E2697" s="39"/>
      <c r="F2697" s="39" t="s">
        <v>3302</v>
      </c>
      <c r="G2697" s="44">
        <v>0.5</v>
      </c>
      <c r="H2697" s="39" t="s">
        <v>101</v>
      </c>
      <c r="I2697" s="39" t="s">
        <v>102</v>
      </c>
      <c r="J2697" s="41">
        <v>2500</v>
      </c>
      <c r="K2697" s="42">
        <v>21.4</v>
      </c>
      <c r="L2697" s="43"/>
      <c r="M2697" s="43">
        <f>L2697*K2697</f>
        <v>0</v>
      </c>
      <c r="N2697" s="35">
        <v>4607116264317</v>
      </c>
    </row>
    <row r="2698" spans="1:14" ht="24" customHeight="1" outlineLevel="3" x14ac:dyDescent="0.2">
      <c r="A2698" s="45">
        <v>14969</v>
      </c>
      <c r="B2698" s="37" t="str">
        <f>HYPERLINK("http://sedek.ru/upload/iblock/928/ipomeya_tolyanka.jpg","фото")</f>
        <v>фото</v>
      </c>
      <c r="C2698" s="38"/>
      <c r="D2698" s="38"/>
      <c r="E2698" s="39"/>
      <c r="F2698" s="39" t="s">
        <v>3303</v>
      </c>
      <c r="G2698" s="54">
        <v>0.25</v>
      </c>
      <c r="H2698" s="39" t="s">
        <v>101</v>
      </c>
      <c r="I2698" s="39" t="s">
        <v>102</v>
      </c>
      <c r="J2698" s="41">
        <v>2500</v>
      </c>
      <c r="K2698" s="42">
        <v>31.2</v>
      </c>
      <c r="L2698" s="43"/>
      <c r="M2698" s="43">
        <f>L2698*K2698</f>
        <v>0</v>
      </c>
      <c r="N2698" s="35">
        <v>4690368018159</v>
      </c>
    </row>
    <row r="2699" spans="1:14" ht="24" customHeight="1" outlineLevel="3" x14ac:dyDescent="0.2">
      <c r="A2699" s="45">
        <v>14974</v>
      </c>
      <c r="B2699" s="37" t="str">
        <f>HYPERLINK("http://sedek.ru/upload/iblock/5e4/ipomeya_shiva.jpg","фото")</f>
        <v>фото</v>
      </c>
      <c r="C2699" s="38"/>
      <c r="D2699" s="38"/>
      <c r="E2699" s="39"/>
      <c r="F2699" s="39" t="s">
        <v>3304</v>
      </c>
      <c r="G2699" s="44">
        <v>0.2</v>
      </c>
      <c r="H2699" s="39" t="s">
        <v>101</v>
      </c>
      <c r="I2699" s="39" t="s">
        <v>102</v>
      </c>
      <c r="J2699" s="41">
        <v>2500</v>
      </c>
      <c r="K2699" s="42">
        <v>23.5</v>
      </c>
      <c r="L2699" s="43"/>
      <c r="M2699" s="43">
        <f>L2699*K2699</f>
        <v>0</v>
      </c>
      <c r="N2699" s="35">
        <v>4690368018197</v>
      </c>
    </row>
    <row r="2700" spans="1:14" ht="12" customHeight="1" outlineLevel="3" x14ac:dyDescent="0.2">
      <c r="A2700" s="45">
        <v>15947</v>
      </c>
      <c r="B2700" s="37" t="str">
        <f>HYPERLINK("http://sedek.ru/upload/iblock/4cc/kaktus_zabiyaka.jpg","фото")</f>
        <v>фото</v>
      </c>
      <c r="C2700" s="38"/>
      <c r="D2700" s="38"/>
      <c r="E2700" s="39"/>
      <c r="F2700" s="39" t="s">
        <v>3305</v>
      </c>
      <c r="G2700" s="54">
        <v>0.05</v>
      </c>
      <c r="H2700" s="39" t="s">
        <v>101</v>
      </c>
      <c r="I2700" s="39" t="s">
        <v>102</v>
      </c>
      <c r="J2700" s="41">
        <v>3000</v>
      </c>
      <c r="K2700" s="42">
        <v>33.200000000000003</v>
      </c>
      <c r="L2700" s="43"/>
      <c r="M2700" s="43">
        <f>L2700*K2700</f>
        <v>0</v>
      </c>
      <c r="N2700" s="35">
        <v>4607116264331</v>
      </c>
    </row>
    <row r="2701" spans="1:14" ht="24" customHeight="1" outlineLevel="3" x14ac:dyDescent="0.2">
      <c r="A2701" s="45">
        <v>14229</v>
      </c>
      <c r="B2701" s="37" t="str">
        <f>HYPERLINK("http://sedek.ru/upload/iblock/1bb/kalendula_art_shades_smes.JPG","фото")</f>
        <v>фото</v>
      </c>
      <c r="C2701" s="38"/>
      <c r="D2701" s="38"/>
      <c r="E2701" s="39"/>
      <c r="F2701" s="39" t="s">
        <v>3306</v>
      </c>
      <c r="G2701" s="40">
        <v>1</v>
      </c>
      <c r="H2701" s="39" t="s">
        <v>101</v>
      </c>
      <c r="I2701" s="39" t="s">
        <v>102</v>
      </c>
      <c r="J2701" s="41">
        <v>1500</v>
      </c>
      <c r="K2701" s="42">
        <v>47.1</v>
      </c>
      <c r="L2701" s="43"/>
      <c r="M2701" s="43">
        <f>L2701*K2701</f>
        <v>0</v>
      </c>
      <c r="N2701" s="35">
        <v>4607116264348</v>
      </c>
    </row>
    <row r="2702" spans="1:14" ht="24" customHeight="1" outlineLevel="3" x14ac:dyDescent="0.2">
      <c r="A2702" s="45">
        <v>17084</v>
      </c>
      <c r="B2702" s="37" t="str">
        <f>HYPERLINK("http://sedek.ru/upload/iblock/6fa/kalendula_volshebnitsa.jpg","фото")</f>
        <v>фото</v>
      </c>
      <c r="C2702" s="38"/>
      <c r="D2702" s="38"/>
      <c r="E2702" s="39"/>
      <c r="F2702" s="39" t="s">
        <v>3307</v>
      </c>
      <c r="G2702" s="44">
        <v>0.5</v>
      </c>
      <c r="H2702" s="39" t="s">
        <v>101</v>
      </c>
      <c r="I2702" s="39" t="s">
        <v>102</v>
      </c>
      <c r="J2702" s="41">
        <v>1500</v>
      </c>
      <c r="K2702" s="42">
        <v>21.4</v>
      </c>
      <c r="L2702" s="43"/>
      <c r="M2702" s="43">
        <f>L2702*K2702</f>
        <v>0</v>
      </c>
      <c r="N2702" s="35">
        <v>4690368022576</v>
      </c>
    </row>
    <row r="2703" spans="1:14" ht="24" customHeight="1" outlineLevel="3" x14ac:dyDescent="0.2">
      <c r="A2703" s="45">
        <v>15571</v>
      </c>
      <c r="B2703" s="37" t="str">
        <f>HYPERLINK("http://sedek.ru/upload/iblock/78e/kalendula_golden_byuti.jpg","фото")</f>
        <v>фото</v>
      </c>
      <c r="C2703" s="38"/>
      <c r="D2703" s="38"/>
      <c r="E2703" s="39"/>
      <c r="F2703" s="39" t="s">
        <v>3308</v>
      </c>
      <c r="G2703" s="40">
        <v>1</v>
      </c>
      <c r="H2703" s="39" t="s">
        <v>101</v>
      </c>
      <c r="I2703" s="39" t="s">
        <v>102</v>
      </c>
      <c r="J2703" s="41">
        <v>1500</v>
      </c>
      <c r="K2703" s="42">
        <v>24.9</v>
      </c>
      <c r="L2703" s="43"/>
      <c r="M2703" s="43">
        <f>L2703*K2703</f>
        <v>0</v>
      </c>
      <c r="N2703" s="35">
        <v>4607116264355</v>
      </c>
    </row>
    <row r="2704" spans="1:14" ht="24" customHeight="1" outlineLevel="3" x14ac:dyDescent="0.2">
      <c r="A2704" s="45">
        <v>16200</v>
      </c>
      <c r="B2704" s="37" t="str">
        <f>HYPERLINK("http://sedek.ru/upload/iblock/2cd/kalendula_zolottse.jpg","фото")</f>
        <v>фото</v>
      </c>
      <c r="C2704" s="38"/>
      <c r="D2704" s="38"/>
      <c r="E2704" s="39"/>
      <c r="F2704" s="39" t="s">
        <v>3309</v>
      </c>
      <c r="G2704" s="44">
        <v>0.5</v>
      </c>
      <c r="H2704" s="39" t="s">
        <v>101</v>
      </c>
      <c r="I2704" s="39" t="s">
        <v>102</v>
      </c>
      <c r="J2704" s="41">
        <v>1500</v>
      </c>
      <c r="K2704" s="42">
        <v>21.4</v>
      </c>
      <c r="L2704" s="43"/>
      <c r="M2704" s="43">
        <f>L2704*K2704</f>
        <v>0</v>
      </c>
      <c r="N2704" s="35">
        <v>4607116264362</v>
      </c>
    </row>
    <row r="2705" spans="1:14" ht="24" customHeight="1" outlineLevel="3" x14ac:dyDescent="0.2">
      <c r="A2705" s="45">
        <v>15668</v>
      </c>
      <c r="B2705" s="37" t="str">
        <f>HYPERLINK("http://www.sedek.ru/upload/iblock/d14/kalendula_lili.jpg","Фото")</f>
        <v>Фото</v>
      </c>
      <c r="C2705" s="38"/>
      <c r="D2705" s="38"/>
      <c r="E2705" s="39"/>
      <c r="F2705" s="39" t="s">
        <v>3310</v>
      </c>
      <c r="G2705" s="44">
        <v>0.5</v>
      </c>
      <c r="H2705" s="39" t="s">
        <v>101</v>
      </c>
      <c r="I2705" s="39" t="s">
        <v>102</v>
      </c>
      <c r="J2705" s="41">
        <v>1500</v>
      </c>
      <c r="K2705" s="42">
        <v>29.7</v>
      </c>
      <c r="L2705" s="43"/>
      <c r="M2705" s="43">
        <f>L2705*K2705</f>
        <v>0</v>
      </c>
      <c r="N2705" s="35">
        <v>4607149403875</v>
      </c>
    </row>
    <row r="2706" spans="1:14" ht="24" customHeight="1" outlineLevel="3" x14ac:dyDescent="0.2">
      <c r="A2706" s="45">
        <v>17086</v>
      </c>
      <c r="B2706" s="37" t="str">
        <f>HYPERLINK("http://sedek.ru/upload/iblock/e18/kalendula_maritsa.jpg","фото")</f>
        <v>фото</v>
      </c>
      <c r="C2706" s="38"/>
      <c r="D2706" s="38"/>
      <c r="E2706" s="39"/>
      <c r="F2706" s="39" t="s">
        <v>3311</v>
      </c>
      <c r="G2706" s="54">
        <v>0.25</v>
      </c>
      <c r="H2706" s="39" t="s">
        <v>101</v>
      </c>
      <c r="I2706" s="39" t="s">
        <v>102</v>
      </c>
      <c r="J2706" s="41">
        <v>1500</v>
      </c>
      <c r="K2706" s="42">
        <v>27.6</v>
      </c>
      <c r="L2706" s="43"/>
      <c r="M2706" s="43">
        <f>L2706*K2706</f>
        <v>0</v>
      </c>
      <c r="N2706" s="35">
        <v>4690368022811</v>
      </c>
    </row>
    <row r="2707" spans="1:14" ht="36" customHeight="1" outlineLevel="3" x14ac:dyDescent="0.2">
      <c r="A2707" s="45">
        <v>16408</v>
      </c>
      <c r="B2707" s="37" t="str">
        <f>HYPERLINK("http://sedek.ru/upload/iblock/0bf/kalendula_nensi.jpg","фото")</f>
        <v>фото</v>
      </c>
      <c r="C2707" s="38"/>
      <c r="D2707" s="38"/>
      <c r="E2707" s="39"/>
      <c r="F2707" s="39" t="s">
        <v>3312</v>
      </c>
      <c r="G2707" s="44">
        <v>0.5</v>
      </c>
      <c r="H2707" s="39" t="s">
        <v>101</v>
      </c>
      <c r="I2707" s="39" t="s">
        <v>102</v>
      </c>
      <c r="J2707" s="41">
        <v>1500</v>
      </c>
      <c r="K2707" s="42">
        <v>33.799999999999997</v>
      </c>
      <c r="L2707" s="43"/>
      <c r="M2707" s="43">
        <f>L2707*K2707</f>
        <v>0</v>
      </c>
      <c r="N2707" s="35">
        <v>4607149403882</v>
      </c>
    </row>
    <row r="2708" spans="1:14" ht="24" customHeight="1" outlineLevel="3" x14ac:dyDescent="0.2">
      <c r="A2708" s="45">
        <v>14217</v>
      </c>
      <c r="B2708" s="37" t="str">
        <f>HYPERLINK("http://sedek.ru/upload/iblock/fa9/kalendula_oksana.jpg","фото")</f>
        <v>фото</v>
      </c>
      <c r="C2708" s="38"/>
      <c r="D2708" s="38"/>
      <c r="E2708" s="39"/>
      <c r="F2708" s="39" t="s">
        <v>3313</v>
      </c>
      <c r="G2708" s="44">
        <v>0.3</v>
      </c>
      <c r="H2708" s="39" t="s">
        <v>101</v>
      </c>
      <c r="I2708" s="39" t="s">
        <v>102</v>
      </c>
      <c r="J2708" s="41">
        <v>1500</v>
      </c>
      <c r="K2708" s="42">
        <v>21.4</v>
      </c>
      <c r="L2708" s="43"/>
      <c r="M2708" s="43">
        <f>L2708*K2708</f>
        <v>0</v>
      </c>
      <c r="N2708" s="35">
        <v>4607149401185</v>
      </c>
    </row>
    <row r="2709" spans="1:14" ht="36" customHeight="1" outlineLevel="3" x14ac:dyDescent="0.2">
      <c r="A2709" s="45">
        <v>13578</v>
      </c>
      <c r="B2709" s="37" t="str">
        <f>HYPERLINK("http://sedek.ru/upload/iblock/2e6/kalendula_patsifik_byuti_smes.jpg","фото")</f>
        <v>фото</v>
      </c>
      <c r="C2709" s="38"/>
      <c r="D2709" s="38"/>
      <c r="E2709" s="39"/>
      <c r="F2709" s="39" t="s">
        <v>3314</v>
      </c>
      <c r="G2709" s="44">
        <v>0.5</v>
      </c>
      <c r="H2709" s="39" t="s">
        <v>101</v>
      </c>
      <c r="I2709" s="39" t="s">
        <v>102</v>
      </c>
      <c r="J2709" s="41">
        <v>1500</v>
      </c>
      <c r="K2709" s="42">
        <v>21.4</v>
      </c>
      <c r="L2709" s="43"/>
      <c r="M2709" s="43">
        <f>L2709*K2709</f>
        <v>0</v>
      </c>
      <c r="N2709" s="35">
        <v>4607116264386</v>
      </c>
    </row>
    <row r="2710" spans="1:14" ht="24" customHeight="1" outlineLevel="3" x14ac:dyDescent="0.2">
      <c r="A2710" s="45">
        <v>17085</v>
      </c>
      <c r="B2710" s="37" t="str">
        <f>HYPERLINK("http://sedek.ru/upload/iblock/190/kalendula_utrennyaya_zvezda.jpg","фото")</f>
        <v>фото</v>
      </c>
      <c r="C2710" s="38"/>
      <c r="D2710" s="38"/>
      <c r="E2710" s="39"/>
      <c r="F2710" s="39" t="s">
        <v>3315</v>
      </c>
      <c r="G2710" s="44">
        <v>0.5</v>
      </c>
      <c r="H2710" s="39" t="s">
        <v>101</v>
      </c>
      <c r="I2710" s="39" t="s">
        <v>102</v>
      </c>
      <c r="J2710" s="41">
        <v>1500</v>
      </c>
      <c r="K2710" s="42">
        <v>21.4</v>
      </c>
      <c r="L2710" s="43"/>
      <c r="M2710" s="43">
        <f>L2710*K2710</f>
        <v>0</v>
      </c>
      <c r="N2710" s="35">
        <v>4690368022583</v>
      </c>
    </row>
    <row r="2711" spans="1:14" ht="24" customHeight="1" outlineLevel="3" x14ac:dyDescent="0.2">
      <c r="A2711" s="45">
        <v>14745</v>
      </c>
      <c r="B2711" s="37" t="str">
        <f>HYPERLINK("http://www.sedek.ru/upload/iblock/919/kalendula_yunaya_geysha_krasno_oranzhevaya.jpg","фото")</f>
        <v>фото</v>
      </c>
      <c r="C2711" s="38"/>
      <c r="D2711" s="38"/>
      <c r="E2711" s="39"/>
      <c r="F2711" s="39" t="s">
        <v>3316</v>
      </c>
      <c r="G2711" s="44">
        <v>0.5</v>
      </c>
      <c r="H2711" s="39" t="s">
        <v>101</v>
      </c>
      <c r="I2711" s="39" t="s">
        <v>102</v>
      </c>
      <c r="J2711" s="41">
        <v>1500</v>
      </c>
      <c r="K2711" s="42">
        <v>21.4</v>
      </c>
      <c r="L2711" s="43"/>
      <c r="M2711" s="43">
        <f>L2711*K2711</f>
        <v>0</v>
      </c>
      <c r="N2711" s="35">
        <v>4607149401178</v>
      </c>
    </row>
    <row r="2712" spans="1:14" ht="24" customHeight="1" outlineLevel="3" x14ac:dyDescent="0.2">
      <c r="A2712" s="45">
        <v>15233</v>
      </c>
      <c r="B2712" s="37" t="str">
        <f>HYPERLINK("http://sedek.ru/upload/iblock/707/kapusta_kankan_dekorativnaya_smes_sortov.jpg","фото")</f>
        <v>фото</v>
      </c>
      <c r="C2712" s="38"/>
      <c r="D2712" s="38"/>
      <c r="E2712" s="39"/>
      <c r="F2712" s="39" t="s">
        <v>3317</v>
      </c>
      <c r="G2712" s="44">
        <v>0.1</v>
      </c>
      <c r="H2712" s="39" t="s">
        <v>101</v>
      </c>
      <c r="I2712" s="39" t="s">
        <v>102</v>
      </c>
      <c r="J2712" s="41">
        <v>4000</v>
      </c>
      <c r="K2712" s="42">
        <v>21.4</v>
      </c>
      <c r="L2712" s="43"/>
      <c r="M2712" s="43">
        <f>L2712*K2712</f>
        <v>0</v>
      </c>
      <c r="N2712" s="35">
        <v>4607116264423</v>
      </c>
    </row>
    <row r="2713" spans="1:14" ht="36" customHeight="1" outlineLevel="3" x14ac:dyDescent="0.2">
      <c r="A2713" s="45">
        <v>16315</v>
      </c>
      <c r="B2713" s="37" t="str">
        <f>HYPERLINK("http://sedek.ru/upload/iblock/7b4/kapusta_tokio_dekorativnaya_smes.jpg","фото")</f>
        <v>фото</v>
      </c>
      <c r="C2713" s="38"/>
      <c r="D2713" s="38"/>
      <c r="E2713" s="39"/>
      <c r="F2713" s="39" t="s">
        <v>3318</v>
      </c>
      <c r="G2713" s="44">
        <v>0.1</v>
      </c>
      <c r="H2713" s="39" t="s">
        <v>101</v>
      </c>
      <c r="I2713" s="39" t="s">
        <v>102</v>
      </c>
      <c r="J2713" s="41">
        <v>4000</v>
      </c>
      <c r="K2713" s="42">
        <v>23.5</v>
      </c>
      <c r="L2713" s="43"/>
      <c r="M2713" s="43">
        <f>L2713*K2713</f>
        <v>0</v>
      </c>
      <c r="N2713" s="35">
        <v>4607116264430</v>
      </c>
    </row>
    <row r="2714" spans="1:14" ht="24" customHeight="1" outlineLevel="3" x14ac:dyDescent="0.2">
      <c r="A2714" s="45">
        <v>14788</v>
      </c>
      <c r="B2714" s="37" t="str">
        <f>HYPERLINK("http://sedek.ru/upload/iblock/893/kardiospermum_zhongler.jpg","фото")</f>
        <v>фото</v>
      </c>
      <c r="C2714" s="38"/>
      <c r="D2714" s="38"/>
      <c r="E2714" s="39"/>
      <c r="F2714" s="39" t="s">
        <v>3319</v>
      </c>
      <c r="G2714" s="44">
        <v>0.5</v>
      </c>
      <c r="H2714" s="39" t="s">
        <v>101</v>
      </c>
      <c r="I2714" s="39" t="s">
        <v>102</v>
      </c>
      <c r="J2714" s="41">
        <v>2000</v>
      </c>
      <c r="K2714" s="42">
        <v>40.200000000000003</v>
      </c>
      <c r="L2714" s="43"/>
      <c r="M2714" s="43">
        <f>L2714*K2714</f>
        <v>0</v>
      </c>
      <c r="N2714" s="35">
        <v>4607116264447</v>
      </c>
    </row>
    <row r="2715" spans="1:14" ht="36" customHeight="1" outlineLevel="3" x14ac:dyDescent="0.2">
      <c r="A2715" s="45">
        <v>16030</v>
      </c>
      <c r="B2715" s="37" t="str">
        <f>HYPERLINK("http://sedek.ru/upload/iblock/b12/katarantus_kurazh.jpg","фото")</f>
        <v>фото</v>
      </c>
      <c r="C2715" s="38"/>
      <c r="D2715" s="38"/>
      <c r="E2715" s="39"/>
      <c r="F2715" s="39" t="s">
        <v>3320</v>
      </c>
      <c r="G2715" s="44">
        <v>0.1</v>
      </c>
      <c r="H2715" s="39" t="s">
        <v>101</v>
      </c>
      <c r="I2715" s="39" t="s">
        <v>102</v>
      </c>
      <c r="J2715" s="41">
        <v>2500</v>
      </c>
      <c r="K2715" s="42">
        <v>23.2</v>
      </c>
      <c r="L2715" s="43"/>
      <c r="M2715" s="43">
        <f>L2715*K2715</f>
        <v>0</v>
      </c>
      <c r="N2715" s="35">
        <v>4607116264454</v>
      </c>
    </row>
    <row r="2716" spans="1:14" ht="36" customHeight="1" outlineLevel="3" x14ac:dyDescent="0.2">
      <c r="A2716" s="45">
        <v>13828</v>
      </c>
      <c r="B2716" s="37" t="str">
        <f>HYPERLINK("http://sedek.ru/upload/iblock/c4f/katarantus_sirtaki.jpg","фото")</f>
        <v>фото</v>
      </c>
      <c r="C2716" s="38"/>
      <c r="D2716" s="38"/>
      <c r="E2716" s="39"/>
      <c r="F2716" s="39" t="s">
        <v>3321</v>
      </c>
      <c r="G2716" s="44">
        <v>0.1</v>
      </c>
      <c r="H2716" s="39" t="s">
        <v>101</v>
      </c>
      <c r="I2716" s="39" t="s">
        <v>102</v>
      </c>
      <c r="J2716" s="41">
        <v>2500</v>
      </c>
      <c r="K2716" s="42">
        <v>35.799999999999997</v>
      </c>
      <c r="L2716" s="43"/>
      <c r="M2716" s="43">
        <f>L2716*K2716</f>
        <v>0</v>
      </c>
      <c r="N2716" s="35">
        <v>4607116264461</v>
      </c>
    </row>
    <row r="2717" spans="1:14" ht="24" customHeight="1" outlineLevel="3" x14ac:dyDescent="0.2">
      <c r="A2717" s="45">
        <v>17122</v>
      </c>
      <c r="B2717" s="37" t="str">
        <f>HYPERLINK("http://sedek.ru/upload/iblock/1fe/klarkiya_villina.jpg","фото")</f>
        <v>фото</v>
      </c>
      <c r="C2717" s="38"/>
      <c r="D2717" s="38"/>
      <c r="E2717" s="39"/>
      <c r="F2717" s="39" t="s">
        <v>3322</v>
      </c>
      <c r="G2717" s="44">
        <v>0.2</v>
      </c>
      <c r="H2717" s="39" t="s">
        <v>101</v>
      </c>
      <c r="I2717" s="39" t="s">
        <v>102</v>
      </c>
      <c r="J2717" s="41">
        <v>4000</v>
      </c>
      <c r="K2717" s="42">
        <v>21.4</v>
      </c>
      <c r="L2717" s="43"/>
      <c r="M2717" s="43">
        <f>L2717*K2717</f>
        <v>0</v>
      </c>
      <c r="N2717" s="35">
        <v>4690368023023</v>
      </c>
    </row>
    <row r="2718" spans="1:14" ht="36" customHeight="1" outlineLevel="3" x14ac:dyDescent="0.2">
      <c r="A2718" s="45">
        <v>16169</v>
      </c>
      <c r="B2718" s="37" t="str">
        <f>HYPERLINK("http://sedek.ru/upload/iblock/861/klarkiya_kruzhevo_smes.jpg","фото")</f>
        <v>фото</v>
      </c>
      <c r="C2718" s="38"/>
      <c r="D2718" s="38"/>
      <c r="E2718" s="39"/>
      <c r="F2718" s="39" t="s">
        <v>3323</v>
      </c>
      <c r="G2718" s="54">
        <v>0.25</v>
      </c>
      <c r="H2718" s="39" t="s">
        <v>101</v>
      </c>
      <c r="I2718" s="39" t="s">
        <v>102</v>
      </c>
      <c r="J2718" s="41">
        <v>4000</v>
      </c>
      <c r="K2718" s="42">
        <v>21.4</v>
      </c>
      <c r="L2718" s="43"/>
      <c r="M2718" s="43">
        <f>L2718*K2718</f>
        <v>0</v>
      </c>
      <c r="N2718" s="35">
        <v>4607116264478</v>
      </c>
    </row>
    <row r="2719" spans="1:14" ht="24" customHeight="1" outlineLevel="3" x14ac:dyDescent="0.2">
      <c r="A2719" s="45">
        <v>14918</v>
      </c>
      <c r="B2719" s="37" t="str">
        <f>HYPERLINK("http://sedek.ru/upload/iblock/f27/klarkiya_madmuazel.jpg","фото")</f>
        <v>фото</v>
      </c>
      <c r="C2719" s="38"/>
      <c r="D2719" s="38"/>
      <c r="E2719" s="39"/>
      <c r="F2719" s="39" t="s">
        <v>3324</v>
      </c>
      <c r="G2719" s="44">
        <v>0.1</v>
      </c>
      <c r="H2719" s="39" t="s">
        <v>101</v>
      </c>
      <c r="I2719" s="39" t="s">
        <v>102</v>
      </c>
      <c r="J2719" s="41">
        <v>4000</v>
      </c>
      <c r="K2719" s="42">
        <v>24.9</v>
      </c>
      <c r="L2719" s="43"/>
      <c r="M2719" s="43">
        <f>L2719*K2719</f>
        <v>0</v>
      </c>
      <c r="N2719" s="35">
        <v>4690368017671</v>
      </c>
    </row>
    <row r="2720" spans="1:14" ht="24" customHeight="1" outlineLevel="3" x14ac:dyDescent="0.2">
      <c r="A2720" s="45">
        <v>17043</v>
      </c>
      <c r="B2720" s="37" t="str">
        <f>HYPERLINK("http://www.sedek.ru/upload/iblock/3a7/klematis_zolotoy_petushok_tangusskiy.jpg","фото")</f>
        <v>фото</v>
      </c>
      <c r="C2720" s="38"/>
      <c r="D2720" s="38"/>
      <c r="E2720" s="39"/>
      <c r="F2720" s="39" t="s">
        <v>3325</v>
      </c>
      <c r="G2720" s="44">
        <v>0.1</v>
      </c>
      <c r="H2720" s="39" t="s">
        <v>101</v>
      </c>
      <c r="I2720" s="39" t="s">
        <v>102</v>
      </c>
      <c r="J2720" s="41">
        <v>4000</v>
      </c>
      <c r="K2720" s="42">
        <v>52.4</v>
      </c>
      <c r="L2720" s="43"/>
      <c r="M2720" s="43">
        <f>L2720*K2720</f>
        <v>0</v>
      </c>
      <c r="N2720" s="35">
        <v>4607015181456</v>
      </c>
    </row>
    <row r="2721" spans="1:14" ht="24" customHeight="1" outlineLevel="3" x14ac:dyDescent="0.2">
      <c r="A2721" s="45">
        <v>17124</v>
      </c>
      <c r="B2721" s="37" t="str">
        <f>HYPERLINK("http://sedek.ru/upload/iblock/8bc/kleoma_vilma.jpg","фото")</f>
        <v>фото</v>
      </c>
      <c r="C2721" s="38"/>
      <c r="D2721" s="38"/>
      <c r="E2721" s="39"/>
      <c r="F2721" s="39" t="s">
        <v>3326</v>
      </c>
      <c r="G2721" s="44">
        <v>0.2</v>
      </c>
      <c r="H2721" s="39" t="s">
        <v>101</v>
      </c>
      <c r="I2721" s="39" t="s">
        <v>102</v>
      </c>
      <c r="J2721" s="41">
        <v>2500</v>
      </c>
      <c r="K2721" s="42">
        <v>23.2</v>
      </c>
      <c r="L2721" s="43"/>
      <c r="M2721" s="43">
        <f>L2721*K2721</f>
        <v>0</v>
      </c>
      <c r="N2721" s="35">
        <v>4690368023047</v>
      </c>
    </row>
    <row r="2722" spans="1:14" ht="36" customHeight="1" outlineLevel="3" x14ac:dyDescent="0.2">
      <c r="A2722" s="45">
        <v>17125</v>
      </c>
      <c r="B2722" s="37" t="str">
        <f>HYPERLINK("http://sedek.ru/upload/iblock/8dc/kleoma_pobeda.jpg","фото")</f>
        <v>фото</v>
      </c>
      <c r="C2722" s="38"/>
      <c r="D2722" s="38"/>
      <c r="E2722" s="39"/>
      <c r="F2722" s="39" t="s">
        <v>3327</v>
      </c>
      <c r="G2722" s="44">
        <v>0.2</v>
      </c>
      <c r="H2722" s="39" t="s">
        <v>101</v>
      </c>
      <c r="I2722" s="39" t="s">
        <v>102</v>
      </c>
      <c r="J2722" s="41">
        <v>2500</v>
      </c>
      <c r="K2722" s="42">
        <v>23.2</v>
      </c>
      <c r="L2722" s="43"/>
      <c r="M2722" s="43">
        <f>L2722*K2722</f>
        <v>0</v>
      </c>
      <c r="N2722" s="35">
        <v>4690368023436</v>
      </c>
    </row>
    <row r="2723" spans="1:14" ht="36" customHeight="1" outlineLevel="3" x14ac:dyDescent="0.2">
      <c r="A2723" s="45">
        <v>15027</v>
      </c>
      <c r="B2723" s="37" t="str">
        <f>HYPERLINK("http://sedek.ru/upload/iblock/2b4/kleshchevina_impala.jpg","фото")</f>
        <v>фото</v>
      </c>
      <c r="C2723" s="38"/>
      <c r="D2723" s="38"/>
      <c r="E2723" s="39"/>
      <c r="F2723" s="39" t="s">
        <v>3328</v>
      </c>
      <c r="G2723" s="40">
        <v>2</v>
      </c>
      <c r="H2723" s="39" t="s">
        <v>101</v>
      </c>
      <c r="I2723" s="39" t="s">
        <v>102</v>
      </c>
      <c r="J2723" s="41">
        <v>1500</v>
      </c>
      <c r="K2723" s="42">
        <v>43.4</v>
      </c>
      <c r="L2723" s="43"/>
      <c r="M2723" s="43">
        <f>L2723*K2723</f>
        <v>0</v>
      </c>
      <c r="N2723" s="35">
        <v>4690368019194</v>
      </c>
    </row>
    <row r="2724" spans="1:14" ht="36" customHeight="1" outlineLevel="3" x14ac:dyDescent="0.2">
      <c r="A2724" s="45">
        <v>16133</v>
      </c>
      <c r="B2724" s="37" t="str">
        <f>HYPERLINK("http://sedek.ru/upload/iblock/225/kleshchevina_nedotroga.jpg","фото")</f>
        <v>фото</v>
      </c>
      <c r="C2724" s="38"/>
      <c r="D2724" s="38"/>
      <c r="E2724" s="39"/>
      <c r="F2724" s="39" t="s">
        <v>3329</v>
      </c>
      <c r="G2724" s="40">
        <v>2</v>
      </c>
      <c r="H2724" s="39" t="s">
        <v>101</v>
      </c>
      <c r="I2724" s="39" t="s">
        <v>102</v>
      </c>
      <c r="J2724" s="41">
        <v>1500</v>
      </c>
      <c r="K2724" s="42">
        <v>23.8</v>
      </c>
      <c r="L2724" s="43"/>
      <c r="M2724" s="43">
        <f>L2724*K2724</f>
        <v>0</v>
      </c>
      <c r="N2724" s="35">
        <v>4607116264508</v>
      </c>
    </row>
    <row r="2725" spans="1:14" ht="24" customHeight="1" outlineLevel="3" x14ac:dyDescent="0.2">
      <c r="A2725" s="45">
        <v>14401</v>
      </c>
      <c r="B2725" s="37" t="str">
        <f>HYPERLINK("http://sedek.ru/upload/iblock/26f/kleshchevina_orakul.jpg","фото")</f>
        <v>фото</v>
      </c>
      <c r="C2725" s="38"/>
      <c r="D2725" s="38"/>
      <c r="E2725" s="39"/>
      <c r="F2725" s="39" t="s">
        <v>3330</v>
      </c>
      <c r="G2725" s="40">
        <v>1</v>
      </c>
      <c r="H2725" s="39" t="s">
        <v>101</v>
      </c>
      <c r="I2725" s="39" t="s">
        <v>102</v>
      </c>
      <c r="J2725" s="41">
        <v>1500</v>
      </c>
      <c r="K2725" s="42">
        <v>29.6</v>
      </c>
      <c r="L2725" s="43"/>
      <c r="M2725" s="43">
        <f>L2725*K2725</f>
        <v>0</v>
      </c>
      <c r="N2725" s="35">
        <v>4607116264515</v>
      </c>
    </row>
    <row r="2726" spans="1:14" ht="12" customHeight="1" outlineLevel="3" x14ac:dyDescent="0.2">
      <c r="A2726" s="45">
        <v>13970</v>
      </c>
      <c r="B2726" s="37" t="str">
        <f>HYPERLINK("http://www.sedek.ru/upload/iblock/7ec/knifofiya_syurpriz.jpg","фото")</f>
        <v>фото</v>
      </c>
      <c r="C2726" s="38"/>
      <c r="D2726" s="38"/>
      <c r="E2726" s="39"/>
      <c r="F2726" s="39" t="s">
        <v>3331</v>
      </c>
      <c r="G2726" s="44">
        <v>0.2</v>
      </c>
      <c r="H2726" s="39" t="s">
        <v>101</v>
      </c>
      <c r="I2726" s="39" t="s">
        <v>102</v>
      </c>
      <c r="J2726" s="41">
        <v>3000</v>
      </c>
      <c r="K2726" s="42">
        <v>31.2</v>
      </c>
      <c r="L2726" s="43"/>
      <c r="M2726" s="43">
        <f>L2726*K2726</f>
        <v>0</v>
      </c>
      <c r="N2726" s="35">
        <v>4607149401215</v>
      </c>
    </row>
    <row r="2727" spans="1:14" ht="24" customHeight="1" outlineLevel="3" x14ac:dyDescent="0.2">
      <c r="A2727" s="45">
        <v>14154</v>
      </c>
      <c r="B2727" s="37" t="str">
        <f>HYPERLINK("http://sedek.ru/upload/iblock/63f/kobeya_amazonka_lazyashchaya.jpg","фото")</f>
        <v>фото</v>
      </c>
      <c r="C2727" s="38"/>
      <c r="D2727" s="38"/>
      <c r="E2727" s="39"/>
      <c r="F2727" s="39" t="s">
        <v>3332</v>
      </c>
      <c r="G2727" s="44">
        <v>0.5</v>
      </c>
      <c r="H2727" s="39" t="s">
        <v>101</v>
      </c>
      <c r="I2727" s="39" t="s">
        <v>102</v>
      </c>
      <c r="J2727" s="41">
        <v>3000</v>
      </c>
      <c r="K2727" s="42">
        <v>55.7</v>
      </c>
      <c r="L2727" s="43"/>
      <c r="M2727" s="43">
        <f>L2727*K2727</f>
        <v>0</v>
      </c>
      <c r="N2727" s="35">
        <v>4607116264539</v>
      </c>
    </row>
    <row r="2728" spans="1:14" ht="24" customHeight="1" outlineLevel="3" x14ac:dyDescent="0.2">
      <c r="A2728" s="45">
        <v>14919</v>
      </c>
      <c r="B2728" s="37" t="str">
        <f>HYPERLINK("http://sedek.ru/upload/iblock/5e3/kobeya_ledi_gamilton.jpg","фото")</f>
        <v>фото</v>
      </c>
      <c r="C2728" s="38"/>
      <c r="D2728" s="38"/>
      <c r="E2728" s="39"/>
      <c r="F2728" s="39" t="s">
        <v>3333</v>
      </c>
      <c r="G2728" s="54">
        <v>0.25</v>
      </c>
      <c r="H2728" s="39" t="s">
        <v>101</v>
      </c>
      <c r="I2728" s="39" t="s">
        <v>102</v>
      </c>
      <c r="J2728" s="41">
        <v>3000</v>
      </c>
      <c r="K2728" s="42">
        <v>51.72</v>
      </c>
      <c r="L2728" s="43"/>
      <c r="M2728" s="43">
        <f>L2728*K2728</f>
        <v>0</v>
      </c>
      <c r="N2728" s="35">
        <v>4690368017688</v>
      </c>
    </row>
    <row r="2729" spans="1:14" ht="36" customHeight="1" outlineLevel="3" x14ac:dyDescent="0.2">
      <c r="A2729" s="45">
        <v>15161</v>
      </c>
      <c r="B2729" s="37" t="str">
        <f>HYPERLINK("http://sedek.ru/upload/iblock/fe8/koleus_raduga_smes.jpg","фото")</f>
        <v>фото</v>
      </c>
      <c r="C2729" s="38"/>
      <c r="D2729" s="38"/>
      <c r="E2729" s="39"/>
      <c r="F2729" s="39" t="s">
        <v>3334</v>
      </c>
      <c r="G2729" s="54">
        <v>0.03</v>
      </c>
      <c r="H2729" s="39" t="s">
        <v>101</v>
      </c>
      <c r="I2729" s="39" t="s">
        <v>102</v>
      </c>
      <c r="J2729" s="41">
        <v>3500</v>
      </c>
      <c r="K2729" s="42">
        <v>53.6</v>
      </c>
      <c r="L2729" s="43"/>
      <c r="M2729" s="43">
        <f>L2729*K2729</f>
        <v>0</v>
      </c>
      <c r="N2729" s="35">
        <v>4607116264546</v>
      </c>
    </row>
    <row r="2730" spans="1:14" ht="24" customHeight="1" outlineLevel="3" x14ac:dyDescent="0.2">
      <c r="A2730" s="45">
        <v>17044</v>
      </c>
      <c r="B2730" s="37" t="str">
        <f>HYPERLINK("http://www.sedek.ru/upload/iblock/aba/koleus_faust.jpg","фото")</f>
        <v>фото</v>
      </c>
      <c r="C2730" s="38"/>
      <c r="D2730" s="38"/>
      <c r="E2730" s="39"/>
      <c r="F2730" s="39" t="s">
        <v>3335</v>
      </c>
      <c r="G2730" s="44">
        <v>0.1</v>
      </c>
      <c r="H2730" s="39" t="s">
        <v>101</v>
      </c>
      <c r="I2730" s="39" t="s">
        <v>102</v>
      </c>
      <c r="J2730" s="41">
        <v>3500</v>
      </c>
      <c r="K2730" s="42">
        <v>51.6</v>
      </c>
      <c r="L2730" s="43"/>
      <c r="M2730" s="43">
        <f>L2730*K2730</f>
        <v>0</v>
      </c>
      <c r="N2730" s="35">
        <v>4607149404087</v>
      </c>
    </row>
    <row r="2731" spans="1:14" ht="36" customHeight="1" outlineLevel="3" x14ac:dyDescent="0.2">
      <c r="A2731" s="45">
        <v>15832</v>
      </c>
      <c r="B2731" s="37" t="str">
        <f>HYPERLINK("http://sedek.ru/upload/iblock/7c3/kollinsiya_neznakomka.jpg","фото")</f>
        <v>фото</v>
      </c>
      <c r="C2731" s="38"/>
      <c r="D2731" s="38"/>
      <c r="E2731" s="39"/>
      <c r="F2731" s="39" t="s">
        <v>3336</v>
      </c>
      <c r="G2731" s="44">
        <v>0.5</v>
      </c>
      <c r="H2731" s="39" t="s">
        <v>101</v>
      </c>
      <c r="I2731" s="39" t="s">
        <v>102</v>
      </c>
      <c r="J2731" s="41">
        <v>2500</v>
      </c>
      <c r="K2731" s="42">
        <v>21.4</v>
      </c>
      <c r="L2731" s="43"/>
      <c r="M2731" s="43">
        <f>L2731*K2731</f>
        <v>0</v>
      </c>
      <c r="N2731" s="35">
        <v>4607116264553</v>
      </c>
    </row>
    <row r="2732" spans="1:14" ht="24" customHeight="1" outlineLevel="3" x14ac:dyDescent="0.2">
      <c r="A2732" s="45">
        <v>14442</v>
      </c>
      <c r="B2732" s="37" t="str">
        <f>HYPERLINK("http://sedek.ru/upload/iblock/45c/kolokolchik_belosnezhka_karpatskiy.jpg","фото")</f>
        <v>фото</v>
      </c>
      <c r="C2732" s="38"/>
      <c r="D2732" s="38"/>
      <c r="E2732" s="39"/>
      <c r="F2732" s="39" t="s">
        <v>3337</v>
      </c>
      <c r="G2732" s="44">
        <v>0.1</v>
      </c>
      <c r="H2732" s="39" t="s">
        <v>101</v>
      </c>
      <c r="I2732" s="39" t="s">
        <v>102</v>
      </c>
      <c r="J2732" s="41">
        <v>3000</v>
      </c>
      <c r="K2732" s="42">
        <v>21.4</v>
      </c>
      <c r="L2732" s="43"/>
      <c r="M2732" s="43">
        <f>L2732*K2732</f>
        <v>0</v>
      </c>
      <c r="N2732" s="35">
        <v>4607116264560</v>
      </c>
    </row>
    <row r="2733" spans="1:14" ht="24" customHeight="1" outlineLevel="3" x14ac:dyDescent="0.2">
      <c r="A2733" s="45">
        <v>13493</v>
      </c>
      <c r="B2733" s="37" t="str">
        <f>HYPERLINK("http://sedek.ru/upload/iblock/e94/kolokolchik_vesyelaya_trel_medium.jpg","фото")</f>
        <v>фото</v>
      </c>
      <c r="C2733" s="38"/>
      <c r="D2733" s="38"/>
      <c r="E2733" s="39"/>
      <c r="F2733" s="39" t="s">
        <v>3338</v>
      </c>
      <c r="G2733" s="44">
        <v>0.2</v>
      </c>
      <c r="H2733" s="39" t="s">
        <v>101</v>
      </c>
      <c r="I2733" s="39" t="s">
        <v>102</v>
      </c>
      <c r="J2733" s="41">
        <v>3000</v>
      </c>
      <c r="K2733" s="42">
        <v>23.3</v>
      </c>
      <c r="L2733" s="43"/>
      <c r="M2733" s="43">
        <f>L2733*K2733</f>
        <v>0</v>
      </c>
      <c r="N2733" s="35">
        <v>4607116264577</v>
      </c>
    </row>
    <row r="2734" spans="1:14" ht="24" customHeight="1" outlineLevel="3" x14ac:dyDescent="0.2">
      <c r="A2734" s="45">
        <v>17118</v>
      </c>
      <c r="B2734" s="37" t="str">
        <f>HYPERLINK("http://sedek.ru/upload/iblock/f43/kolokolchik_pervoe_svidanie.jpg","фото")</f>
        <v>фото</v>
      </c>
      <c r="C2734" s="38"/>
      <c r="D2734" s="38"/>
      <c r="E2734" s="39"/>
      <c r="F2734" s="39" t="s">
        <v>3339</v>
      </c>
      <c r="G2734" s="44">
        <v>0.1</v>
      </c>
      <c r="H2734" s="39" t="s">
        <v>101</v>
      </c>
      <c r="I2734" s="39" t="s">
        <v>102</v>
      </c>
      <c r="J2734" s="41">
        <v>3000</v>
      </c>
      <c r="K2734" s="42">
        <v>21.4</v>
      </c>
      <c r="L2734" s="43"/>
      <c r="M2734" s="43">
        <f>L2734*K2734</f>
        <v>0</v>
      </c>
      <c r="N2734" s="35">
        <v>4690368023634</v>
      </c>
    </row>
    <row r="2735" spans="1:14" ht="24" customHeight="1" outlineLevel="3" x14ac:dyDescent="0.2">
      <c r="A2735" s="45">
        <v>16181</v>
      </c>
      <c r="B2735" s="37" t="str">
        <f>HYPERLINK("http://sedek.ru/upload/iblock/983/kolokolchik_reverans.jpg","фото")</f>
        <v>фото</v>
      </c>
      <c r="C2735" s="38"/>
      <c r="D2735" s="38"/>
      <c r="E2735" s="39"/>
      <c r="F2735" s="39" t="s">
        <v>3340</v>
      </c>
      <c r="G2735" s="54">
        <v>0.05</v>
      </c>
      <c r="H2735" s="39" t="s">
        <v>101</v>
      </c>
      <c r="I2735" s="39" t="s">
        <v>102</v>
      </c>
      <c r="J2735" s="41">
        <v>3000</v>
      </c>
      <c r="K2735" s="42">
        <v>26.69</v>
      </c>
      <c r="L2735" s="43"/>
      <c r="M2735" s="43">
        <f>L2735*K2735</f>
        <v>0</v>
      </c>
      <c r="N2735" s="35">
        <v>4607116264584</v>
      </c>
    </row>
    <row r="2736" spans="1:14" ht="24" customHeight="1" outlineLevel="3" x14ac:dyDescent="0.2">
      <c r="A2736" s="45">
        <v>15372</v>
      </c>
      <c r="B2736" s="37" t="str">
        <f>HYPERLINK("http://sedek.ru/upload/iblock/622/kolokolchik_svadebnyy_vals_sredniy_smes.jpg","фото")</f>
        <v>фото</v>
      </c>
      <c r="C2736" s="38"/>
      <c r="D2736" s="38"/>
      <c r="E2736" s="39"/>
      <c r="F2736" s="39" t="s">
        <v>3341</v>
      </c>
      <c r="G2736" s="44">
        <v>0.1</v>
      </c>
      <c r="H2736" s="39" t="s">
        <v>101</v>
      </c>
      <c r="I2736" s="39" t="s">
        <v>102</v>
      </c>
      <c r="J2736" s="41">
        <v>3000</v>
      </c>
      <c r="K2736" s="42">
        <v>21.4</v>
      </c>
      <c r="L2736" s="43"/>
      <c r="M2736" s="43">
        <f>L2736*K2736</f>
        <v>0</v>
      </c>
      <c r="N2736" s="35">
        <v>4607116264591</v>
      </c>
    </row>
    <row r="2737" spans="1:14" ht="24" customHeight="1" outlineLevel="3" x14ac:dyDescent="0.2">
      <c r="A2737" s="45">
        <v>14567</v>
      </c>
      <c r="B2737" s="37" t="str">
        <f>HYPERLINK("http://sedek.ru/upload/iblock/b60/kolokolchik_snovidenie_sredniy.jpg","фото")</f>
        <v>фото</v>
      </c>
      <c r="C2737" s="38"/>
      <c r="D2737" s="38"/>
      <c r="E2737" s="39"/>
      <c r="F2737" s="39" t="s">
        <v>3342</v>
      </c>
      <c r="G2737" s="44">
        <v>0.1</v>
      </c>
      <c r="H2737" s="39" t="s">
        <v>101</v>
      </c>
      <c r="I2737" s="39" t="s">
        <v>102</v>
      </c>
      <c r="J2737" s="41">
        <v>3000</v>
      </c>
      <c r="K2737" s="42">
        <v>21.4</v>
      </c>
      <c r="L2737" s="43"/>
      <c r="M2737" s="43">
        <f>L2737*K2737</f>
        <v>0</v>
      </c>
      <c r="N2737" s="35">
        <v>4607116264607</v>
      </c>
    </row>
    <row r="2738" spans="1:14" ht="36" customHeight="1" outlineLevel="3" x14ac:dyDescent="0.2">
      <c r="A2738" s="45">
        <v>14111</v>
      </c>
      <c r="B2738" s="37" t="str">
        <f>HYPERLINK("http://sedek.ru/upload/iblock/214/kolokolchik_chashka_s_blyudtsem_medium_smes.jpg","фото")</f>
        <v>фото</v>
      </c>
      <c r="C2738" s="38"/>
      <c r="D2738" s="38"/>
      <c r="E2738" s="39"/>
      <c r="F2738" s="39" t="s">
        <v>3343</v>
      </c>
      <c r="G2738" s="44">
        <v>0.1</v>
      </c>
      <c r="H2738" s="39" t="s">
        <v>101</v>
      </c>
      <c r="I2738" s="39" t="s">
        <v>102</v>
      </c>
      <c r="J2738" s="41">
        <v>3000</v>
      </c>
      <c r="K2738" s="42">
        <v>28.5</v>
      </c>
      <c r="L2738" s="43"/>
      <c r="M2738" s="43">
        <f>L2738*K2738</f>
        <v>0</v>
      </c>
      <c r="N2738" s="35">
        <v>4607116264614</v>
      </c>
    </row>
    <row r="2739" spans="1:14" ht="24" customHeight="1" outlineLevel="3" x14ac:dyDescent="0.2">
      <c r="A2739" s="45">
        <v>16546</v>
      </c>
      <c r="B2739" s="37" t="str">
        <f>HYPERLINK("http://sedek.ru/upload/iblock/7d9/kolokolchik_elf_karpatskiy.jpg","фото")</f>
        <v>фото</v>
      </c>
      <c r="C2739" s="38"/>
      <c r="D2739" s="38"/>
      <c r="E2739" s="39"/>
      <c r="F2739" s="39" t="s">
        <v>3344</v>
      </c>
      <c r="G2739" s="44">
        <v>0.1</v>
      </c>
      <c r="H2739" s="39" t="s">
        <v>101</v>
      </c>
      <c r="I2739" s="39" t="s">
        <v>102</v>
      </c>
      <c r="J2739" s="41">
        <v>3000</v>
      </c>
      <c r="K2739" s="42">
        <v>21.4</v>
      </c>
      <c r="L2739" s="43"/>
      <c r="M2739" s="43">
        <f>L2739*K2739</f>
        <v>0</v>
      </c>
      <c r="N2739" s="35">
        <v>4607116264621</v>
      </c>
    </row>
    <row r="2740" spans="1:14" ht="24" customHeight="1" outlineLevel="3" x14ac:dyDescent="0.2">
      <c r="A2740" s="45">
        <v>15240</v>
      </c>
      <c r="B2740" s="37" t="str">
        <f>HYPERLINK("http://sedek.ru/upload/iblock/145/konvolvulyus_vyunok_belyy_tanets.jpg","фото")</f>
        <v>фото</v>
      </c>
      <c r="C2740" s="38"/>
      <c r="D2740" s="38"/>
      <c r="E2740" s="39"/>
      <c r="F2740" s="39" t="s">
        <v>3345</v>
      </c>
      <c r="G2740" s="40">
        <v>1</v>
      </c>
      <c r="H2740" s="39" t="s">
        <v>101</v>
      </c>
      <c r="I2740" s="39" t="s">
        <v>102</v>
      </c>
      <c r="J2740" s="41">
        <v>2000</v>
      </c>
      <c r="K2740" s="42">
        <v>21.4</v>
      </c>
      <c r="L2740" s="43"/>
      <c r="M2740" s="43">
        <f>L2740*K2740</f>
        <v>0</v>
      </c>
      <c r="N2740" s="35">
        <v>4607116264638</v>
      </c>
    </row>
    <row r="2741" spans="1:14" ht="24" customHeight="1" outlineLevel="3" x14ac:dyDescent="0.2">
      <c r="A2741" s="45">
        <v>13723</v>
      </c>
      <c r="B2741" s="37" t="str">
        <f>HYPERLINK("http://sedek.ru/upload/iblock/5d4/konvolvulyus_vyunok_venskiy_vals.jpg","фото")</f>
        <v>фото</v>
      </c>
      <c r="C2741" s="38"/>
      <c r="D2741" s="38"/>
      <c r="E2741" s="39"/>
      <c r="F2741" s="39" t="s">
        <v>3346</v>
      </c>
      <c r="G2741" s="40">
        <v>1</v>
      </c>
      <c r="H2741" s="39" t="s">
        <v>101</v>
      </c>
      <c r="I2741" s="39" t="s">
        <v>102</v>
      </c>
      <c r="J2741" s="41">
        <v>2000</v>
      </c>
      <c r="K2741" s="42">
        <v>25.2</v>
      </c>
      <c r="L2741" s="43"/>
      <c r="M2741" s="43">
        <f>L2741*K2741</f>
        <v>0</v>
      </c>
      <c r="N2741" s="35">
        <v>4607116264645</v>
      </c>
    </row>
    <row r="2742" spans="1:14" ht="36" customHeight="1" outlineLevel="3" x14ac:dyDescent="0.2">
      <c r="A2742" s="45">
        <v>14137</v>
      </c>
      <c r="B2742" s="37" t="str">
        <f>HYPERLINK("http://sedek.ru/upload/iblock/7f2/konvolvulyus_kalipso.jpg","фото")</f>
        <v>фото</v>
      </c>
      <c r="C2742" s="38"/>
      <c r="D2742" s="38"/>
      <c r="E2742" s="39"/>
      <c r="F2742" s="39" t="s">
        <v>3347</v>
      </c>
      <c r="G2742" s="40">
        <v>1</v>
      </c>
      <c r="H2742" s="39" t="s">
        <v>101</v>
      </c>
      <c r="I2742" s="39" t="s">
        <v>102</v>
      </c>
      <c r="J2742" s="41">
        <v>2000</v>
      </c>
      <c r="K2742" s="42">
        <v>21.4</v>
      </c>
      <c r="L2742" s="43"/>
      <c r="M2742" s="43">
        <f>L2742*K2742</f>
        <v>0</v>
      </c>
      <c r="N2742" s="35">
        <v>4607116264652</v>
      </c>
    </row>
    <row r="2743" spans="1:14" ht="36" customHeight="1" outlineLevel="3" x14ac:dyDescent="0.2">
      <c r="A2743" s="45">
        <v>14922</v>
      </c>
      <c r="B2743" s="37" t="str">
        <f>HYPERLINK("http://sedek.ru/upload/iblock/35a/koreopsis_amulet.jpg","фото")</f>
        <v>фото</v>
      </c>
      <c r="C2743" s="38"/>
      <c r="D2743" s="38"/>
      <c r="E2743" s="39"/>
      <c r="F2743" s="39" t="s">
        <v>3348</v>
      </c>
      <c r="G2743" s="44">
        <v>0.1</v>
      </c>
      <c r="H2743" s="39" t="s">
        <v>101</v>
      </c>
      <c r="I2743" s="39" t="s">
        <v>102</v>
      </c>
      <c r="J2743" s="41">
        <v>3000</v>
      </c>
      <c r="K2743" s="42">
        <v>24.9</v>
      </c>
      <c r="L2743" s="43"/>
      <c r="M2743" s="43">
        <f>L2743*K2743</f>
        <v>0</v>
      </c>
      <c r="N2743" s="35">
        <v>4690368017718</v>
      </c>
    </row>
    <row r="2744" spans="1:14" ht="24" customHeight="1" outlineLevel="3" x14ac:dyDescent="0.2">
      <c r="A2744" s="45">
        <v>14920</v>
      </c>
      <c r="B2744" s="37" t="str">
        <f>HYPERLINK("http://sedek.ru/upload/iblock/4fd/koreopsis_zolotoy_shar.jpg","фото")</f>
        <v>фото</v>
      </c>
      <c r="C2744" s="38"/>
      <c r="D2744" s="38"/>
      <c r="E2744" s="39"/>
      <c r="F2744" s="39" t="s">
        <v>3349</v>
      </c>
      <c r="G2744" s="59">
        <v>2.5000000000000001E-2</v>
      </c>
      <c r="H2744" s="39" t="s">
        <v>101</v>
      </c>
      <c r="I2744" s="39" t="s">
        <v>102</v>
      </c>
      <c r="J2744" s="41">
        <v>3000</v>
      </c>
      <c r="K2744" s="42">
        <v>26.6</v>
      </c>
      <c r="L2744" s="43"/>
      <c r="M2744" s="43">
        <f>L2744*K2744</f>
        <v>0</v>
      </c>
      <c r="N2744" s="35">
        <v>4690368017695</v>
      </c>
    </row>
    <row r="2745" spans="1:14" ht="24" customHeight="1" outlineLevel="3" x14ac:dyDescent="0.2">
      <c r="A2745" s="45">
        <v>14619</v>
      </c>
      <c r="B2745" s="37" t="str">
        <f>HYPERLINK("http://sedek.ru/upload/iblock/e1d/koreopsis_illarion.jpg","фото")</f>
        <v>фото</v>
      </c>
      <c r="C2745" s="38"/>
      <c r="D2745" s="38"/>
      <c r="E2745" s="39"/>
      <c r="F2745" s="39" t="s">
        <v>3350</v>
      </c>
      <c r="G2745" s="44">
        <v>0.1</v>
      </c>
      <c r="H2745" s="39" t="s">
        <v>101</v>
      </c>
      <c r="I2745" s="39" t="s">
        <v>102</v>
      </c>
      <c r="J2745" s="41">
        <v>3000</v>
      </c>
      <c r="K2745" s="42">
        <v>111.6</v>
      </c>
      <c r="L2745" s="43"/>
      <c r="M2745" s="43">
        <f>L2745*K2745</f>
        <v>0</v>
      </c>
      <c r="N2745" s="35">
        <v>4607149407828</v>
      </c>
    </row>
    <row r="2746" spans="1:14" ht="36" customHeight="1" outlineLevel="3" x14ac:dyDescent="0.2">
      <c r="A2746" s="45">
        <v>15996</v>
      </c>
      <c r="B2746" s="37" t="str">
        <f>HYPERLINK("http://sedek.ru/upload/iblock/261/koreopsis_metsenat_smes.jpg","фото")</f>
        <v>фото</v>
      </c>
      <c r="C2746" s="38"/>
      <c r="D2746" s="38"/>
      <c r="E2746" s="39"/>
      <c r="F2746" s="39" t="s">
        <v>3351</v>
      </c>
      <c r="G2746" s="54">
        <v>0.25</v>
      </c>
      <c r="H2746" s="39" t="s">
        <v>101</v>
      </c>
      <c r="I2746" s="39" t="s">
        <v>102</v>
      </c>
      <c r="J2746" s="41">
        <v>3000</v>
      </c>
      <c r="K2746" s="42">
        <v>24.9</v>
      </c>
      <c r="L2746" s="43"/>
      <c r="M2746" s="43">
        <f>L2746*K2746</f>
        <v>0</v>
      </c>
      <c r="N2746" s="35">
        <v>4607116264683</v>
      </c>
    </row>
    <row r="2747" spans="1:14" ht="24" customHeight="1" outlineLevel="3" x14ac:dyDescent="0.2">
      <c r="A2747" s="45">
        <v>14921</v>
      </c>
      <c r="B2747" s="37" t="str">
        <f>HYPERLINK("http://sedek.ru/upload/iblock/35d/koreopsis_snegir.jpg","фото")</f>
        <v>фото</v>
      </c>
      <c r="C2747" s="38"/>
      <c r="D2747" s="38"/>
      <c r="E2747" s="39"/>
      <c r="F2747" s="39" t="s">
        <v>3352</v>
      </c>
      <c r="G2747" s="44">
        <v>0.2</v>
      </c>
      <c r="H2747" s="39" t="s">
        <v>101</v>
      </c>
      <c r="I2747" s="39" t="s">
        <v>102</v>
      </c>
      <c r="J2747" s="41">
        <v>3000</v>
      </c>
      <c r="K2747" s="42">
        <v>21.4</v>
      </c>
      <c r="L2747" s="43"/>
      <c r="M2747" s="43">
        <f>L2747*K2747</f>
        <v>0</v>
      </c>
      <c r="N2747" s="35">
        <v>4690368017701</v>
      </c>
    </row>
    <row r="2748" spans="1:14" ht="24" customHeight="1" outlineLevel="3" x14ac:dyDescent="0.2">
      <c r="A2748" s="45">
        <v>14924</v>
      </c>
      <c r="B2748" s="37" t="str">
        <f>HYPERLINK("http://sedek.ru/upload/iblock/35d/koreopsis_snegir.jpg","фото")</f>
        <v>фото</v>
      </c>
      <c r="C2748" s="38"/>
      <c r="D2748" s="38"/>
      <c r="E2748" s="39"/>
      <c r="F2748" s="39" t="s">
        <v>3353</v>
      </c>
      <c r="G2748" s="44">
        <v>0.5</v>
      </c>
      <c r="H2748" s="39" t="s">
        <v>101</v>
      </c>
      <c r="I2748" s="39" t="s">
        <v>102</v>
      </c>
      <c r="J2748" s="41">
        <v>3000</v>
      </c>
      <c r="K2748" s="42">
        <v>24.9</v>
      </c>
      <c r="L2748" s="43"/>
      <c r="M2748" s="43">
        <f>L2748*K2748</f>
        <v>0</v>
      </c>
      <c r="N2748" s="35">
        <v>4690368017732</v>
      </c>
    </row>
    <row r="2749" spans="1:14" ht="24" customHeight="1" outlineLevel="3" x14ac:dyDescent="0.2">
      <c r="A2749" s="45">
        <v>17130</v>
      </c>
      <c r="B2749" s="37" t="str">
        <f>HYPERLINK("http://sedek.ru/upload/iblock/1c1/kosmeya_ariadna.jpg","фото")</f>
        <v>фото</v>
      </c>
      <c r="C2749" s="38"/>
      <c r="D2749" s="38"/>
      <c r="E2749" s="39"/>
      <c r="F2749" s="39" t="s">
        <v>3354</v>
      </c>
      <c r="G2749" s="54">
        <v>0.04</v>
      </c>
      <c r="H2749" s="39" t="s">
        <v>101</v>
      </c>
      <c r="I2749" s="39" t="s">
        <v>102</v>
      </c>
      <c r="J2749" s="41">
        <v>3000</v>
      </c>
      <c r="K2749" s="42">
        <v>30.2</v>
      </c>
      <c r="L2749" s="43"/>
      <c r="M2749" s="43">
        <f>L2749*K2749</f>
        <v>0</v>
      </c>
      <c r="N2749" s="35">
        <v>4690368023085</v>
      </c>
    </row>
    <row r="2750" spans="1:14" ht="24" customHeight="1" outlineLevel="3" x14ac:dyDescent="0.2">
      <c r="A2750" s="45">
        <v>14410</v>
      </c>
      <c r="B2750" s="37" t="str">
        <f>HYPERLINK("http://sedek.ru/upload/iblock/ace/kosmeya_afrodita.jpg","фото")</f>
        <v>фото</v>
      </c>
      <c r="C2750" s="38"/>
      <c r="D2750" s="38"/>
      <c r="E2750" s="39"/>
      <c r="F2750" s="39" t="s">
        <v>3355</v>
      </c>
      <c r="G2750" s="44">
        <v>0.5</v>
      </c>
      <c r="H2750" s="39" t="s">
        <v>101</v>
      </c>
      <c r="I2750" s="39" t="s">
        <v>102</v>
      </c>
      <c r="J2750" s="41">
        <v>3000</v>
      </c>
      <c r="K2750" s="42">
        <v>25.1</v>
      </c>
      <c r="L2750" s="43"/>
      <c r="M2750" s="43">
        <f>L2750*K2750</f>
        <v>0</v>
      </c>
      <c r="N2750" s="35">
        <v>4607116264690</v>
      </c>
    </row>
    <row r="2751" spans="1:14" ht="24" customHeight="1" outlineLevel="3" x14ac:dyDescent="0.2">
      <c r="A2751" s="45">
        <v>14925</v>
      </c>
      <c r="B2751" s="37" t="str">
        <f>HYPERLINK("http://sedek.ru/upload/iblock/3bc/kosmeya_vostorg.jpg","фото")</f>
        <v>фото</v>
      </c>
      <c r="C2751" s="38"/>
      <c r="D2751" s="38"/>
      <c r="E2751" s="39"/>
      <c r="F2751" s="39" t="s">
        <v>3356</v>
      </c>
      <c r="G2751" s="44">
        <v>0.2</v>
      </c>
      <c r="H2751" s="39" t="s">
        <v>101</v>
      </c>
      <c r="I2751" s="39" t="s">
        <v>102</v>
      </c>
      <c r="J2751" s="41">
        <v>3000</v>
      </c>
      <c r="K2751" s="42">
        <v>21.4</v>
      </c>
      <c r="L2751" s="43"/>
      <c r="M2751" s="43">
        <f>L2751*K2751</f>
        <v>0</v>
      </c>
      <c r="N2751" s="35">
        <v>4690368017749</v>
      </c>
    </row>
    <row r="2752" spans="1:14" ht="24" customHeight="1" outlineLevel="3" x14ac:dyDescent="0.2">
      <c r="A2752" s="45">
        <v>14923</v>
      </c>
      <c r="B2752" s="37" t="str">
        <f>HYPERLINK("http://sedek.ru/upload/iblock/031/kosmeya_voskhod_solntsa.jpg","фото")</f>
        <v>фото</v>
      </c>
      <c r="C2752" s="38"/>
      <c r="D2752" s="38"/>
      <c r="E2752" s="39"/>
      <c r="F2752" s="39" t="s">
        <v>3357</v>
      </c>
      <c r="G2752" s="44">
        <v>0.2</v>
      </c>
      <c r="H2752" s="39" t="s">
        <v>101</v>
      </c>
      <c r="I2752" s="39" t="s">
        <v>102</v>
      </c>
      <c r="J2752" s="41">
        <v>3000</v>
      </c>
      <c r="K2752" s="42">
        <v>35.799999999999997</v>
      </c>
      <c r="L2752" s="43"/>
      <c r="M2752" s="43">
        <f>L2752*K2752</f>
        <v>0</v>
      </c>
      <c r="N2752" s="35">
        <v>4690368017725</v>
      </c>
    </row>
    <row r="2753" spans="1:14" ht="36" customHeight="1" outlineLevel="3" x14ac:dyDescent="0.2">
      <c r="A2753" s="45">
        <v>17128</v>
      </c>
      <c r="B2753" s="37" t="str">
        <f>HYPERLINK("http://sedek.ru/upload/iblock/0e3/kosmeya_kraski_monmartra.jpg","фото")</f>
        <v>фото</v>
      </c>
      <c r="C2753" s="38"/>
      <c r="D2753" s="38"/>
      <c r="E2753" s="39"/>
      <c r="F2753" s="39" t="s">
        <v>3358</v>
      </c>
      <c r="G2753" s="54">
        <v>7.0000000000000007E-2</v>
      </c>
      <c r="H2753" s="39" t="s">
        <v>101</v>
      </c>
      <c r="I2753" s="39" t="s">
        <v>102</v>
      </c>
      <c r="J2753" s="41">
        <v>3000</v>
      </c>
      <c r="K2753" s="42">
        <v>33.9</v>
      </c>
      <c r="L2753" s="43"/>
      <c r="M2753" s="43">
        <f>L2753*K2753</f>
        <v>0</v>
      </c>
      <c r="N2753" s="35">
        <v>4690368023061</v>
      </c>
    </row>
    <row r="2754" spans="1:14" ht="24" customHeight="1" outlineLevel="3" x14ac:dyDescent="0.2">
      <c r="A2754" s="45">
        <v>15235</v>
      </c>
      <c r="B2754" s="37" t="str">
        <f>HYPERLINK("http://sedek.ru/upload/iblock/781/kosmeya_krasotka.jpg","фото")</f>
        <v>фото</v>
      </c>
      <c r="C2754" s="38"/>
      <c r="D2754" s="38"/>
      <c r="E2754" s="39"/>
      <c r="F2754" s="39" t="s">
        <v>3359</v>
      </c>
      <c r="G2754" s="44">
        <v>0.5</v>
      </c>
      <c r="H2754" s="39" t="s">
        <v>101</v>
      </c>
      <c r="I2754" s="39" t="s">
        <v>102</v>
      </c>
      <c r="J2754" s="41">
        <v>3000</v>
      </c>
      <c r="K2754" s="42">
        <v>21.4</v>
      </c>
      <c r="L2754" s="43"/>
      <c r="M2754" s="43">
        <f>L2754*K2754</f>
        <v>0</v>
      </c>
      <c r="N2754" s="35">
        <v>4607149401208</v>
      </c>
    </row>
    <row r="2755" spans="1:14" ht="24" customHeight="1" outlineLevel="3" x14ac:dyDescent="0.2">
      <c r="A2755" s="45">
        <v>14187</v>
      </c>
      <c r="B2755" s="37" t="str">
        <f>HYPERLINK("http://sedek.ru/upload/iblock/0b8/kosmeya_letniy_znoy_smes.jpg","фото")</f>
        <v>фото</v>
      </c>
      <c r="C2755" s="38"/>
      <c r="D2755" s="38"/>
      <c r="E2755" s="39"/>
      <c r="F2755" s="39" t="s">
        <v>3360</v>
      </c>
      <c r="G2755" s="54">
        <v>0.25</v>
      </c>
      <c r="H2755" s="39" t="s">
        <v>101</v>
      </c>
      <c r="I2755" s="39" t="s">
        <v>102</v>
      </c>
      <c r="J2755" s="41">
        <v>3000</v>
      </c>
      <c r="K2755" s="42">
        <v>21.4</v>
      </c>
      <c r="L2755" s="43"/>
      <c r="M2755" s="43">
        <f>L2755*K2755</f>
        <v>0</v>
      </c>
      <c r="N2755" s="35">
        <v>4607116264706</v>
      </c>
    </row>
    <row r="2756" spans="1:14" ht="36" customHeight="1" outlineLevel="3" x14ac:dyDescent="0.2">
      <c r="A2756" s="45">
        <v>17131</v>
      </c>
      <c r="B2756" s="37" t="str">
        <f>HYPERLINK("http://sedek.ru/upload/iblock/300/kosmeya_madam_pompadur.jpg","фото")</f>
        <v>фото</v>
      </c>
      <c r="C2756" s="38"/>
      <c r="D2756" s="38"/>
      <c r="E2756" s="39"/>
      <c r="F2756" s="39" t="s">
        <v>3361</v>
      </c>
      <c r="G2756" s="54">
        <v>0.04</v>
      </c>
      <c r="H2756" s="39" t="s">
        <v>101</v>
      </c>
      <c r="I2756" s="39" t="s">
        <v>102</v>
      </c>
      <c r="J2756" s="41">
        <v>3000</v>
      </c>
      <c r="K2756" s="42">
        <v>30.2</v>
      </c>
      <c r="L2756" s="43"/>
      <c r="M2756" s="43">
        <f>L2756*K2756</f>
        <v>0</v>
      </c>
      <c r="N2756" s="35">
        <v>4690368023092</v>
      </c>
    </row>
    <row r="2757" spans="1:14" ht="24" customHeight="1" outlineLevel="3" x14ac:dyDescent="0.2">
      <c r="A2757" s="45">
        <v>17127</v>
      </c>
      <c r="B2757" s="37" t="str">
        <f>HYPERLINK("http://sedek.ru/upload/iblock/67c/kosmeya_madonna.jpg","фото")</f>
        <v>фото</v>
      </c>
      <c r="C2757" s="38"/>
      <c r="D2757" s="38"/>
      <c r="E2757" s="39"/>
      <c r="F2757" s="39" t="s">
        <v>3362</v>
      </c>
      <c r="G2757" s="54">
        <v>0.06</v>
      </c>
      <c r="H2757" s="39" t="s">
        <v>101</v>
      </c>
      <c r="I2757" s="39" t="s">
        <v>102</v>
      </c>
      <c r="J2757" s="41">
        <v>3000</v>
      </c>
      <c r="K2757" s="42">
        <v>30.8</v>
      </c>
      <c r="L2757" s="43"/>
      <c r="M2757" s="43">
        <f>L2757*K2757</f>
        <v>0</v>
      </c>
      <c r="N2757" s="35">
        <v>4690368023054</v>
      </c>
    </row>
    <row r="2758" spans="1:14" ht="24" customHeight="1" outlineLevel="3" x14ac:dyDescent="0.2">
      <c r="A2758" s="46">
        <v>15791</v>
      </c>
      <c r="B2758" s="47" t="str">
        <f>HYPERLINK("http://sedek.ru/upload/iblock/7a5/kosmeya_mechta_smes.jpg","фото")</f>
        <v>фото</v>
      </c>
      <c r="C2758" s="48"/>
      <c r="D2758" s="48"/>
      <c r="E2758" s="49"/>
      <c r="F2758" s="49" t="s">
        <v>3363</v>
      </c>
      <c r="G2758" s="56">
        <v>0.5</v>
      </c>
      <c r="H2758" s="49" t="s">
        <v>101</v>
      </c>
      <c r="I2758" s="49" t="s">
        <v>102</v>
      </c>
      <c r="J2758" s="51">
        <v>3000</v>
      </c>
      <c r="K2758" s="52">
        <v>20.3</v>
      </c>
      <c r="L2758" s="53"/>
      <c r="M2758" s="53">
        <f>L2758*K2758</f>
        <v>0</v>
      </c>
      <c r="N2758" s="35">
        <v>4607116269886</v>
      </c>
    </row>
    <row r="2759" spans="1:14" ht="24" customHeight="1" outlineLevel="3" x14ac:dyDescent="0.2">
      <c r="A2759" s="45">
        <v>14926</v>
      </c>
      <c r="B2759" s="37" t="str">
        <f>HYPERLINK("http://sedek.ru/upload/iblock/3e0/kosmeya_ognivo.jpg","фото")</f>
        <v>фото</v>
      </c>
      <c r="C2759" s="38"/>
      <c r="D2759" s="38"/>
      <c r="E2759" s="39"/>
      <c r="F2759" s="39" t="s">
        <v>3364</v>
      </c>
      <c r="G2759" s="54">
        <v>0.25</v>
      </c>
      <c r="H2759" s="39" t="s">
        <v>101</v>
      </c>
      <c r="I2759" s="39" t="s">
        <v>102</v>
      </c>
      <c r="J2759" s="41">
        <v>3000</v>
      </c>
      <c r="K2759" s="42">
        <v>21.4</v>
      </c>
      <c r="L2759" s="43"/>
      <c r="M2759" s="43">
        <f>L2759*K2759</f>
        <v>0</v>
      </c>
      <c r="N2759" s="35">
        <v>4690368017756</v>
      </c>
    </row>
    <row r="2760" spans="1:14" ht="36" customHeight="1" outlineLevel="3" x14ac:dyDescent="0.2">
      <c r="A2760" s="45">
        <v>13583</v>
      </c>
      <c r="B2760" s="37" t="str">
        <f>HYPERLINK("http://sedek.ru/upload/iblock/caf/kosmeya_ozornitsa.jpg","фото")</f>
        <v>фото</v>
      </c>
      <c r="C2760" s="38"/>
      <c r="D2760" s="38"/>
      <c r="E2760" s="39"/>
      <c r="F2760" s="39" t="s">
        <v>3365</v>
      </c>
      <c r="G2760" s="54">
        <v>0.25</v>
      </c>
      <c r="H2760" s="39" t="s">
        <v>101</v>
      </c>
      <c r="I2760" s="39" t="s">
        <v>102</v>
      </c>
      <c r="J2760" s="41">
        <v>3000</v>
      </c>
      <c r="K2760" s="42">
        <v>21.4</v>
      </c>
      <c r="L2760" s="43"/>
      <c r="M2760" s="43">
        <f>L2760*K2760</f>
        <v>0</v>
      </c>
      <c r="N2760" s="35">
        <v>4607149404094</v>
      </c>
    </row>
    <row r="2761" spans="1:14" ht="36" customHeight="1" outlineLevel="3" x14ac:dyDescent="0.2">
      <c r="A2761" s="45">
        <v>14512</v>
      </c>
      <c r="B2761" s="37" t="str">
        <f>HYPERLINK("http://sedek.ru/upload/iblock/98b/kosmeya_paradiz.jpg","фото")</f>
        <v>фото</v>
      </c>
      <c r="C2761" s="38"/>
      <c r="D2761" s="38"/>
      <c r="E2761" s="39"/>
      <c r="F2761" s="39" t="s">
        <v>3366</v>
      </c>
      <c r="G2761" s="44">
        <v>0.1</v>
      </c>
      <c r="H2761" s="39" t="s">
        <v>101</v>
      </c>
      <c r="I2761" s="39" t="s">
        <v>102</v>
      </c>
      <c r="J2761" s="41">
        <v>3000</v>
      </c>
      <c r="K2761" s="42">
        <v>37.700000000000003</v>
      </c>
      <c r="L2761" s="43"/>
      <c r="M2761" s="43">
        <f>L2761*K2761</f>
        <v>0</v>
      </c>
      <c r="N2761" s="35">
        <v>4690368010320</v>
      </c>
    </row>
    <row r="2762" spans="1:14" ht="24" customHeight="1" outlineLevel="3" x14ac:dyDescent="0.2">
      <c r="A2762" s="45">
        <v>17129</v>
      </c>
      <c r="B2762" s="37" t="str">
        <f>HYPERLINK("http://sedek.ru/upload/iblock/a90/kosmeya_roza_burbon.jpg","фото")</f>
        <v>фото</v>
      </c>
      <c r="C2762" s="38"/>
      <c r="D2762" s="38"/>
      <c r="E2762" s="39"/>
      <c r="F2762" s="39" t="s">
        <v>3367</v>
      </c>
      <c r="G2762" s="54">
        <v>0.04</v>
      </c>
      <c r="H2762" s="39" t="s">
        <v>101</v>
      </c>
      <c r="I2762" s="39" t="s">
        <v>102</v>
      </c>
      <c r="J2762" s="41">
        <v>3000</v>
      </c>
      <c r="K2762" s="42">
        <v>21.4</v>
      </c>
      <c r="L2762" s="43"/>
      <c r="M2762" s="43">
        <f>L2762*K2762</f>
        <v>0</v>
      </c>
      <c r="N2762" s="35">
        <v>4690368023078</v>
      </c>
    </row>
    <row r="2763" spans="1:14" ht="36" customHeight="1" outlineLevel="3" x14ac:dyDescent="0.2">
      <c r="A2763" s="45">
        <v>14440</v>
      </c>
      <c r="B2763" s="37" t="str">
        <f>HYPERLINK("http://sedek.ru/upload/iblock/d7e/kosmeya_severnoe_siyanie_nizkoroslaya_smes.jpg","фото")</f>
        <v>фото</v>
      </c>
      <c r="C2763" s="38"/>
      <c r="D2763" s="38"/>
      <c r="E2763" s="39"/>
      <c r="F2763" s="39" t="s">
        <v>3368</v>
      </c>
      <c r="G2763" s="44">
        <v>0.3</v>
      </c>
      <c r="H2763" s="39" t="s">
        <v>101</v>
      </c>
      <c r="I2763" s="39" t="s">
        <v>102</v>
      </c>
      <c r="J2763" s="41">
        <v>3000</v>
      </c>
      <c r="K2763" s="42">
        <v>21.4</v>
      </c>
      <c r="L2763" s="43"/>
      <c r="M2763" s="43">
        <f>L2763*K2763</f>
        <v>0</v>
      </c>
      <c r="N2763" s="35">
        <v>4607149406609</v>
      </c>
    </row>
    <row r="2764" spans="1:14" ht="36" customHeight="1" outlineLevel="3" x14ac:dyDescent="0.2">
      <c r="A2764" s="45">
        <v>14114</v>
      </c>
      <c r="B2764" s="37" t="str">
        <f>HYPERLINK("http://sedek.ru/upload/iblock/d92/kokhiya_grin_leys.jpg","фото")</f>
        <v>фото</v>
      </c>
      <c r="C2764" s="38"/>
      <c r="D2764" s="38"/>
      <c r="E2764" s="39"/>
      <c r="F2764" s="39" t="s">
        <v>3369</v>
      </c>
      <c r="G2764" s="44">
        <v>0.3</v>
      </c>
      <c r="H2764" s="39" t="s">
        <v>101</v>
      </c>
      <c r="I2764" s="39" t="s">
        <v>102</v>
      </c>
      <c r="J2764" s="41">
        <v>2500</v>
      </c>
      <c r="K2764" s="42">
        <v>21.9</v>
      </c>
      <c r="L2764" s="43"/>
      <c r="M2764" s="43">
        <f>L2764*K2764</f>
        <v>0</v>
      </c>
      <c r="N2764" s="35">
        <v>4607116264744</v>
      </c>
    </row>
    <row r="2765" spans="1:14" ht="36" customHeight="1" outlineLevel="3" x14ac:dyDescent="0.2">
      <c r="A2765" s="45">
        <v>16507</v>
      </c>
      <c r="B2765" s="37" t="str">
        <f>HYPERLINK("http://sedek.ru/upload/iblock/2fd/kserantemum_kazachok_smes.jpg","фото")</f>
        <v>фото</v>
      </c>
      <c r="C2765" s="38"/>
      <c r="D2765" s="38"/>
      <c r="E2765" s="39"/>
      <c r="F2765" s="39" t="s">
        <v>3370</v>
      </c>
      <c r="G2765" s="44">
        <v>0.2</v>
      </c>
      <c r="H2765" s="39" t="s">
        <v>101</v>
      </c>
      <c r="I2765" s="39" t="s">
        <v>102</v>
      </c>
      <c r="J2765" s="41">
        <v>3000</v>
      </c>
      <c r="K2765" s="42">
        <v>21.4</v>
      </c>
      <c r="L2765" s="43"/>
      <c r="M2765" s="43">
        <f>L2765*K2765</f>
        <v>0</v>
      </c>
      <c r="N2765" s="35">
        <v>4607116264768</v>
      </c>
    </row>
    <row r="2766" spans="1:14" ht="24" customHeight="1" outlineLevel="3" x14ac:dyDescent="0.2">
      <c r="A2766" s="45">
        <v>17065</v>
      </c>
      <c r="B2766" s="37" t="str">
        <f>HYPERLINK("http://sedek.ru/upload/iblock/a18/lavanda_goluboy_prostor.jpg","фото")</f>
        <v>фото</v>
      </c>
      <c r="C2766" s="38"/>
      <c r="D2766" s="38"/>
      <c r="E2766" s="39"/>
      <c r="F2766" s="39" t="s">
        <v>3371</v>
      </c>
      <c r="G2766" s="54">
        <v>0.05</v>
      </c>
      <c r="H2766" s="39" t="s">
        <v>101</v>
      </c>
      <c r="I2766" s="39" t="s">
        <v>102</v>
      </c>
      <c r="J2766" s="41">
        <v>3000</v>
      </c>
      <c r="K2766" s="42">
        <v>35.04</v>
      </c>
      <c r="L2766" s="43"/>
      <c r="M2766" s="43">
        <f>L2766*K2766</f>
        <v>0</v>
      </c>
      <c r="N2766" s="35">
        <v>4690368018913</v>
      </c>
    </row>
    <row r="2767" spans="1:14" ht="24" customHeight="1" outlineLevel="3" x14ac:dyDescent="0.2">
      <c r="A2767" s="45">
        <v>16587</v>
      </c>
      <c r="B2767" s="37" t="str">
        <f>HYPERLINK("http://sedek.ru/upload/iblock/463/lavatera_nevesta.jpg","фото")</f>
        <v>фото</v>
      </c>
      <c r="C2767" s="38"/>
      <c r="D2767" s="38"/>
      <c r="E2767" s="39"/>
      <c r="F2767" s="39" t="s">
        <v>3372</v>
      </c>
      <c r="G2767" s="44">
        <v>0.3</v>
      </c>
      <c r="H2767" s="39" t="s">
        <v>101</v>
      </c>
      <c r="I2767" s="39" t="s">
        <v>102</v>
      </c>
      <c r="J2767" s="41">
        <v>3000</v>
      </c>
      <c r="K2767" s="42">
        <v>21.4</v>
      </c>
      <c r="L2767" s="43"/>
      <c r="M2767" s="43">
        <f>L2767*K2767</f>
        <v>0</v>
      </c>
      <c r="N2767" s="35">
        <v>4607116264799</v>
      </c>
    </row>
    <row r="2768" spans="1:14" ht="24" customHeight="1" outlineLevel="3" x14ac:dyDescent="0.2">
      <c r="A2768" s="45">
        <v>15002</v>
      </c>
      <c r="B2768" s="37" t="str">
        <f>HYPERLINK("http://sedek.ru/upload/iblock/eae/lavatera_pastushka.jpg","фото")</f>
        <v>фото</v>
      </c>
      <c r="C2768" s="38"/>
      <c r="D2768" s="38"/>
      <c r="E2768" s="39"/>
      <c r="F2768" s="39" t="s">
        <v>3373</v>
      </c>
      <c r="G2768" s="44">
        <v>0.2</v>
      </c>
      <c r="H2768" s="39" t="s">
        <v>101</v>
      </c>
      <c r="I2768" s="39" t="s">
        <v>102</v>
      </c>
      <c r="J2768" s="41">
        <v>3000</v>
      </c>
      <c r="K2768" s="42">
        <v>30.8</v>
      </c>
      <c r="L2768" s="43"/>
      <c r="M2768" s="43">
        <f>L2768*K2768</f>
        <v>0</v>
      </c>
      <c r="N2768" s="35">
        <v>4690368018937</v>
      </c>
    </row>
    <row r="2769" spans="1:14" ht="24" customHeight="1" outlineLevel="3" x14ac:dyDescent="0.2">
      <c r="A2769" s="46">
        <v>13510</v>
      </c>
      <c r="B2769" s="47" t="str">
        <f>HYPERLINK("http://sedek.ru/upload/iblock/aff/lavatera_charovnitsa_smes.jpg","фото")</f>
        <v>фото</v>
      </c>
      <c r="C2769" s="48"/>
      <c r="D2769" s="48"/>
      <c r="E2769" s="49"/>
      <c r="F2769" s="49" t="s">
        <v>3374</v>
      </c>
      <c r="G2769" s="56">
        <v>0.3</v>
      </c>
      <c r="H2769" s="49" t="s">
        <v>101</v>
      </c>
      <c r="I2769" s="49" t="s">
        <v>102</v>
      </c>
      <c r="J2769" s="51">
        <v>3000</v>
      </c>
      <c r="K2769" s="52">
        <v>20.3</v>
      </c>
      <c r="L2769" s="53"/>
      <c r="M2769" s="53">
        <f>L2769*K2769</f>
        <v>0</v>
      </c>
      <c r="N2769" s="35">
        <v>4607116264805</v>
      </c>
    </row>
    <row r="2770" spans="1:14" ht="36" customHeight="1" outlineLevel="3" x14ac:dyDescent="0.2">
      <c r="A2770" s="45">
        <v>17149</v>
      </c>
      <c r="B2770" s="37" t="str">
        <f>HYPERLINK("http://sedek.ru/upload/iblock/dce/lagurus_stepnoy_strannik.jpg","фото")</f>
        <v>фото</v>
      </c>
      <c r="C2770" s="38"/>
      <c r="D2770" s="38"/>
      <c r="E2770" s="39"/>
      <c r="F2770" s="39" t="s">
        <v>3375</v>
      </c>
      <c r="G2770" s="44">
        <v>0.1</v>
      </c>
      <c r="H2770" s="39" t="s">
        <v>101</v>
      </c>
      <c r="I2770" s="39" t="s">
        <v>102</v>
      </c>
      <c r="J2770" s="41">
        <v>4000</v>
      </c>
      <c r="K2770" s="42">
        <v>22.52</v>
      </c>
      <c r="L2770" s="43"/>
      <c r="M2770" s="43">
        <f>L2770*K2770</f>
        <v>0</v>
      </c>
      <c r="N2770" s="35">
        <v>4690368023207</v>
      </c>
    </row>
    <row r="2771" spans="1:14" ht="24" customHeight="1" outlineLevel="3" x14ac:dyDescent="0.2">
      <c r="A2771" s="45">
        <v>14102</v>
      </c>
      <c r="B2771" s="37" t="str">
        <f>HYPERLINK("http://sedek.ru/upload/iblock/e04/levkoy_vzbitye_slivki.jpg","фото")</f>
        <v>фото</v>
      </c>
      <c r="C2771" s="38"/>
      <c r="D2771" s="38"/>
      <c r="E2771" s="39"/>
      <c r="F2771" s="39" t="s">
        <v>3376</v>
      </c>
      <c r="G2771" s="44">
        <v>0.1</v>
      </c>
      <c r="H2771" s="39" t="s">
        <v>101</v>
      </c>
      <c r="I2771" s="39" t="s">
        <v>102</v>
      </c>
      <c r="J2771" s="41">
        <v>4000</v>
      </c>
      <c r="K2771" s="42">
        <v>38</v>
      </c>
      <c r="L2771" s="43"/>
      <c r="M2771" s="43">
        <f>L2771*K2771</f>
        <v>0</v>
      </c>
      <c r="N2771" s="35">
        <v>4607149401277</v>
      </c>
    </row>
    <row r="2772" spans="1:14" ht="24" customHeight="1" outlineLevel="3" x14ac:dyDescent="0.2">
      <c r="A2772" s="45">
        <v>15004</v>
      </c>
      <c r="B2772" s="37" t="str">
        <f>HYPERLINK("http://sedek.ru/upload/iblock/a17/levkoy_liverpul.jpg","фото")</f>
        <v>фото</v>
      </c>
      <c r="C2772" s="38"/>
      <c r="D2772" s="38"/>
      <c r="E2772" s="39"/>
      <c r="F2772" s="39" t="s">
        <v>3377</v>
      </c>
      <c r="G2772" s="44">
        <v>0.1</v>
      </c>
      <c r="H2772" s="39" t="s">
        <v>101</v>
      </c>
      <c r="I2772" s="39" t="s">
        <v>102</v>
      </c>
      <c r="J2772" s="41">
        <v>4000</v>
      </c>
      <c r="K2772" s="42">
        <v>35.299999999999997</v>
      </c>
      <c r="L2772" s="43"/>
      <c r="M2772" s="43">
        <f>L2772*K2772</f>
        <v>0</v>
      </c>
      <c r="N2772" s="35">
        <v>4690368018951</v>
      </c>
    </row>
    <row r="2773" spans="1:14" ht="24" customHeight="1" outlineLevel="3" x14ac:dyDescent="0.2">
      <c r="A2773" s="45">
        <v>14267</v>
      </c>
      <c r="B2773" s="37" t="str">
        <f>HYPERLINK("http://sedek.ru/upload/iblock/a82/levkoy_patsifik_blu.jpg","фото")</f>
        <v>фото</v>
      </c>
      <c r="C2773" s="38"/>
      <c r="D2773" s="38"/>
      <c r="E2773" s="39"/>
      <c r="F2773" s="39" t="s">
        <v>3378</v>
      </c>
      <c r="G2773" s="44">
        <v>0.1</v>
      </c>
      <c r="H2773" s="39" t="s">
        <v>101</v>
      </c>
      <c r="I2773" s="39" t="s">
        <v>102</v>
      </c>
      <c r="J2773" s="41">
        <v>4000</v>
      </c>
      <c r="K2773" s="42">
        <v>36</v>
      </c>
      <c r="L2773" s="43"/>
      <c r="M2773" s="43">
        <f>L2773*K2773</f>
        <v>0</v>
      </c>
      <c r="N2773" s="35">
        <v>4607116264836</v>
      </c>
    </row>
    <row r="2774" spans="1:14" ht="24" customHeight="1" outlineLevel="3" x14ac:dyDescent="0.2">
      <c r="A2774" s="45">
        <v>15252</v>
      </c>
      <c r="B2774" s="37" t="str">
        <f>HYPERLINK("http://sedek.ru/upload/iblock/18c/levkoy_snezhnaya_lavina.jpg","фото")</f>
        <v>фото</v>
      </c>
      <c r="C2774" s="38"/>
      <c r="D2774" s="38"/>
      <c r="E2774" s="39"/>
      <c r="F2774" s="39" t="s">
        <v>3379</v>
      </c>
      <c r="G2774" s="44">
        <v>0.1</v>
      </c>
      <c r="H2774" s="39" t="s">
        <v>101</v>
      </c>
      <c r="I2774" s="39" t="s">
        <v>102</v>
      </c>
      <c r="J2774" s="41">
        <v>4000</v>
      </c>
      <c r="K2774" s="42">
        <v>41.8</v>
      </c>
      <c r="L2774" s="43"/>
      <c r="M2774" s="43">
        <f>L2774*K2774</f>
        <v>0</v>
      </c>
      <c r="N2774" s="35">
        <v>4607116264843</v>
      </c>
    </row>
    <row r="2775" spans="1:14" ht="36" customHeight="1" outlineLevel="3" x14ac:dyDescent="0.2">
      <c r="A2775" s="45">
        <v>13587</v>
      </c>
      <c r="B2775" s="37" t="str">
        <f>HYPERLINK("http://sedek.ru/upload/iblock/69c/levkoy_taynoe_svidanie_smes.jpg","фото")</f>
        <v>фото</v>
      </c>
      <c r="C2775" s="38"/>
      <c r="D2775" s="38"/>
      <c r="E2775" s="39"/>
      <c r="F2775" s="39" t="s">
        <v>3380</v>
      </c>
      <c r="G2775" s="44">
        <v>0.1</v>
      </c>
      <c r="H2775" s="39" t="s">
        <v>101</v>
      </c>
      <c r="I2775" s="39" t="s">
        <v>102</v>
      </c>
      <c r="J2775" s="41">
        <v>4000</v>
      </c>
      <c r="K2775" s="42">
        <v>36</v>
      </c>
      <c r="L2775" s="43"/>
      <c r="M2775" s="43">
        <f>L2775*K2775</f>
        <v>0</v>
      </c>
      <c r="N2775" s="35">
        <v>4607116264850</v>
      </c>
    </row>
    <row r="2776" spans="1:14" ht="24" customHeight="1" outlineLevel="3" x14ac:dyDescent="0.2">
      <c r="A2776" s="45">
        <v>15006</v>
      </c>
      <c r="B2776" s="37" t="str">
        <f>HYPERLINK("http://sedek.ru/upload/iblock/541/levkoy_fuke.jpg","фото")</f>
        <v>фото</v>
      </c>
      <c r="C2776" s="38"/>
      <c r="D2776" s="38"/>
      <c r="E2776" s="39"/>
      <c r="F2776" s="39" t="s">
        <v>3381</v>
      </c>
      <c r="G2776" s="44">
        <v>0.1</v>
      </c>
      <c r="H2776" s="39" t="s">
        <v>101</v>
      </c>
      <c r="I2776" s="39" t="s">
        <v>102</v>
      </c>
      <c r="J2776" s="41">
        <v>4000</v>
      </c>
      <c r="K2776" s="42">
        <v>40.200000000000003</v>
      </c>
      <c r="L2776" s="43"/>
      <c r="M2776" s="43">
        <f>L2776*K2776</f>
        <v>0</v>
      </c>
      <c r="N2776" s="35">
        <v>4690368018975</v>
      </c>
    </row>
    <row r="2777" spans="1:14" ht="24" customHeight="1" outlineLevel="3" x14ac:dyDescent="0.2">
      <c r="A2777" s="45">
        <v>15744</v>
      </c>
      <c r="B2777" s="37" t="str">
        <f>HYPERLINK("http://sedek.ru/upload/iblock/3c5/leguziya_zerkalo_venery.jpg","фото")</f>
        <v>фото</v>
      </c>
      <c r="C2777" s="38"/>
      <c r="D2777" s="38"/>
      <c r="E2777" s="39"/>
      <c r="F2777" s="39" t="s">
        <v>3382</v>
      </c>
      <c r="G2777" s="44">
        <v>0.2</v>
      </c>
      <c r="H2777" s="39" t="s">
        <v>101</v>
      </c>
      <c r="I2777" s="39" t="s">
        <v>102</v>
      </c>
      <c r="J2777" s="41">
        <v>3500</v>
      </c>
      <c r="K2777" s="42">
        <v>24.9</v>
      </c>
      <c r="L2777" s="43"/>
      <c r="M2777" s="43">
        <f>L2777*K2777</f>
        <v>0</v>
      </c>
      <c r="N2777" s="35">
        <v>4607116264867</v>
      </c>
    </row>
    <row r="2778" spans="1:14" ht="24" customHeight="1" outlineLevel="3" x14ac:dyDescent="0.2">
      <c r="A2778" s="45">
        <v>16204</v>
      </c>
      <c r="B2778" s="37" t="str">
        <f>HYPERLINK("http://www.sedek.ru/upload/iblock/d07/lyen_ornament_krupnotsvetkovyy_smes_tsvetov.jpg","Фото")</f>
        <v>Фото</v>
      </c>
      <c r="C2778" s="38"/>
      <c r="D2778" s="38"/>
      <c r="E2778" s="39"/>
      <c r="F2778" s="39" t="s">
        <v>3383</v>
      </c>
      <c r="G2778" s="44">
        <v>0.2</v>
      </c>
      <c r="H2778" s="39" t="s">
        <v>101</v>
      </c>
      <c r="I2778" s="39" t="s">
        <v>102</v>
      </c>
      <c r="J2778" s="41">
        <v>4000</v>
      </c>
      <c r="K2778" s="42">
        <v>27.6</v>
      </c>
      <c r="L2778" s="43"/>
      <c r="M2778" s="43">
        <f>L2778*K2778</f>
        <v>0</v>
      </c>
      <c r="N2778" s="35">
        <v>4690368010290</v>
      </c>
    </row>
    <row r="2779" spans="1:14" ht="24" customHeight="1" outlineLevel="3" x14ac:dyDescent="0.2">
      <c r="A2779" s="45">
        <v>13529</v>
      </c>
      <c r="B2779" s="37" t="str">
        <f>HYPERLINK("http://sedek.ru/upload/iblock/c47/lyen_piligrim.jpg","фото")</f>
        <v>фото</v>
      </c>
      <c r="C2779" s="38"/>
      <c r="D2779" s="38"/>
      <c r="E2779" s="39"/>
      <c r="F2779" s="39" t="s">
        <v>3384</v>
      </c>
      <c r="G2779" s="44">
        <v>0.1</v>
      </c>
      <c r="H2779" s="39" t="s">
        <v>101</v>
      </c>
      <c r="I2779" s="39" t="s">
        <v>102</v>
      </c>
      <c r="J2779" s="41">
        <v>4000</v>
      </c>
      <c r="K2779" s="42">
        <v>21.4</v>
      </c>
      <c r="L2779" s="43"/>
      <c r="M2779" s="43">
        <f>L2779*K2779</f>
        <v>0</v>
      </c>
      <c r="N2779" s="35">
        <v>4607149407897</v>
      </c>
    </row>
    <row r="2780" spans="1:14" ht="24" customHeight="1" outlineLevel="3" x14ac:dyDescent="0.2">
      <c r="A2780" s="45">
        <v>13996</v>
      </c>
      <c r="B2780" s="37" t="str">
        <f>HYPERLINK("http://sedek.ru/upload/iblock/46c/leptosifon_biser_smes.jpg","фото")</f>
        <v>фото</v>
      </c>
      <c r="C2780" s="38"/>
      <c r="D2780" s="38"/>
      <c r="E2780" s="39"/>
      <c r="F2780" s="39" t="s">
        <v>3385</v>
      </c>
      <c r="G2780" s="44">
        <v>0.2</v>
      </c>
      <c r="H2780" s="39" t="s">
        <v>101</v>
      </c>
      <c r="I2780" s="39" t="s">
        <v>102</v>
      </c>
      <c r="J2780" s="41">
        <v>3000</v>
      </c>
      <c r="K2780" s="42">
        <v>24.9</v>
      </c>
      <c r="L2780" s="43"/>
      <c r="M2780" s="43">
        <f>L2780*K2780</f>
        <v>0</v>
      </c>
      <c r="N2780" s="35">
        <v>4607116264911</v>
      </c>
    </row>
    <row r="2781" spans="1:14" ht="24" customHeight="1" outlineLevel="3" x14ac:dyDescent="0.2">
      <c r="A2781" s="45">
        <v>15003</v>
      </c>
      <c r="B2781" s="37" t="str">
        <f>HYPERLINK("http://sedek.ru/upload/iblock/d04/limnantes_lyutsiya.jpg","фото")</f>
        <v>фото</v>
      </c>
      <c r="C2781" s="38"/>
      <c r="D2781" s="38"/>
      <c r="E2781" s="39"/>
      <c r="F2781" s="39" t="s">
        <v>3386</v>
      </c>
      <c r="G2781" s="44">
        <v>0.5</v>
      </c>
      <c r="H2781" s="39" t="s">
        <v>101</v>
      </c>
      <c r="I2781" s="39" t="s">
        <v>102</v>
      </c>
      <c r="J2781" s="41">
        <v>3000</v>
      </c>
      <c r="K2781" s="42">
        <v>33.1</v>
      </c>
      <c r="L2781" s="43"/>
      <c r="M2781" s="43">
        <f>L2781*K2781</f>
        <v>0</v>
      </c>
      <c r="N2781" s="35">
        <v>4690368018944</v>
      </c>
    </row>
    <row r="2782" spans="1:14" ht="36" customHeight="1" outlineLevel="3" x14ac:dyDescent="0.2">
      <c r="A2782" s="45">
        <v>14592</v>
      </c>
      <c r="B2782" s="37" t="str">
        <f>HYPERLINK("http://sedek.ru/upload/iblock/d86/likhnis_vezuviy.jpg","фото")</f>
        <v>фото</v>
      </c>
      <c r="C2782" s="38"/>
      <c r="D2782" s="38"/>
      <c r="E2782" s="39"/>
      <c r="F2782" s="39" t="s">
        <v>3387</v>
      </c>
      <c r="G2782" s="54">
        <v>0.25</v>
      </c>
      <c r="H2782" s="39" t="s">
        <v>101</v>
      </c>
      <c r="I2782" s="39" t="s">
        <v>102</v>
      </c>
      <c r="J2782" s="41">
        <v>3000</v>
      </c>
      <c r="K2782" s="42">
        <v>47.3</v>
      </c>
      <c r="L2782" s="43"/>
      <c r="M2782" s="43">
        <f>L2782*K2782</f>
        <v>0</v>
      </c>
      <c r="N2782" s="35">
        <v>4607116264935</v>
      </c>
    </row>
    <row r="2783" spans="1:14" ht="24" customHeight="1" outlineLevel="3" x14ac:dyDescent="0.2">
      <c r="A2783" s="45">
        <v>15954</v>
      </c>
      <c r="B2783" s="37" t="str">
        <f>HYPERLINK("http://sedek.ru/upload/iblock/55e/likhnis_skarlet.jpg","фото")</f>
        <v>фото</v>
      </c>
      <c r="C2783" s="38"/>
      <c r="D2783" s="38"/>
      <c r="E2783" s="39"/>
      <c r="F2783" s="39" t="s">
        <v>3388</v>
      </c>
      <c r="G2783" s="54">
        <v>0.25</v>
      </c>
      <c r="H2783" s="39" t="s">
        <v>101</v>
      </c>
      <c r="I2783" s="39" t="s">
        <v>102</v>
      </c>
      <c r="J2783" s="41">
        <v>3000</v>
      </c>
      <c r="K2783" s="42">
        <v>24.9</v>
      </c>
      <c r="L2783" s="43"/>
      <c r="M2783" s="43">
        <f>L2783*K2783</f>
        <v>0</v>
      </c>
      <c r="N2783" s="35">
        <v>4607116264959</v>
      </c>
    </row>
    <row r="2784" spans="1:14" ht="24" customHeight="1" outlineLevel="3" x14ac:dyDescent="0.2">
      <c r="A2784" s="45">
        <v>15692</v>
      </c>
      <c r="B2784" s="37" t="str">
        <f>HYPERLINK("http://sedek.ru/upload/iblock/8c7/lobeliya_passiya.jpg","фото")</f>
        <v>фото</v>
      </c>
      <c r="C2784" s="38"/>
      <c r="D2784" s="38"/>
      <c r="E2784" s="39"/>
      <c r="F2784" s="39" t="s">
        <v>3389</v>
      </c>
      <c r="G2784" s="54">
        <v>0.06</v>
      </c>
      <c r="H2784" s="39" t="s">
        <v>101</v>
      </c>
      <c r="I2784" s="39" t="s">
        <v>102</v>
      </c>
      <c r="J2784" s="41">
        <v>4000</v>
      </c>
      <c r="K2784" s="42">
        <v>26.8</v>
      </c>
      <c r="L2784" s="43"/>
      <c r="M2784" s="43">
        <f>L2784*K2784</f>
        <v>0</v>
      </c>
      <c r="N2784" s="35">
        <v>4607116264973</v>
      </c>
    </row>
    <row r="2785" spans="1:14" ht="24" customHeight="1" outlineLevel="3" x14ac:dyDescent="0.2">
      <c r="A2785" s="46">
        <v>14713</v>
      </c>
      <c r="B2785" s="47" t="str">
        <f>HYPERLINK("http://sedek.ru/upload/iblock/bde/lobeliya_sapfir_ampelnaya.jpg","фото")</f>
        <v>фото</v>
      </c>
      <c r="C2785" s="48"/>
      <c r="D2785" s="48"/>
      <c r="E2785" s="49"/>
      <c r="F2785" s="49" t="s">
        <v>3390</v>
      </c>
      <c r="G2785" s="58">
        <v>0.03</v>
      </c>
      <c r="H2785" s="49" t="s">
        <v>101</v>
      </c>
      <c r="I2785" s="49" t="s">
        <v>102</v>
      </c>
      <c r="J2785" s="51">
        <v>4000</v>
      </c>
      <c r="K2785" s="52">
        <v>20.3</v>
      </c>
      <c r="L2785" s="53"/>
      <c r="M2785" s="53">
        <f>L2785*K2785</f>
        <v>0</v>
      </c>
      <c r="N2785" s="35">
        <v>4607116264980</v>
      </c>
    </row>
    <row r="2786" spans="1:14" ht="24" customHeight="1" outlineLevel="3" x14ac:dyDescent="0.2">
      <c r="A2786" s="45">
        <v>14341</v>
      </c>
      <c r="B2786" s="37" t="str">
        <f>HYPERLINK("http://sedek.ru/upload/iblock/ced/lonas_malysh.jpg","фото")</f>
        <v>фото</v>
      </c>
      <c r="C2786" s="38"/>
      <c r="D2786" s="38"/>
      <c r="E2786" s="39"/>
      <c r="F2786" s="39" t="s">
        <v>3391</v>
      </c>
      <c r="G2786" s="54">
        <v>0.05</v>
      </c>
      <c r="H2786" s="39" t="s">
        <v>101</v>
      </c>
      <c r="I2786" s="39" t="s">
        <v>102</v>
      </c>
      <c r="J2786" s="41">
        <v>5000</v>
      </c>
      <c r="K2786" s="42">
        <v>21.4</v>
      </c>
      <c r="L2786" s="43"/>
      <c r="M2786" s="43">
        <f>L2786*K2786</f>
        <v>0</v>
      </c>
      <c r="N2786" s="35">
        <v>4607149407903</v>
      </c>
    </row>
    <row r="2787" spans="1:14" ht="24" customHeight="1" outlineLevel="3" x14ac:dyDescent="0.2">
      <c r="A2787" s="45">
        <v>14206</v>
      </c>
      <c r="B2787" s="37" t="str">
        <f>HYPERLINK("http://sedek.ru/upload/iblock/4d5/lonas_tsyplenok.jpg","фото")</f>
        <v>фото</v>
      </c>
      <c r="C2787" s="38"/>
      <c r="D2787" s="38"/>
      <c r="E2787" s="39"/>
      <c r="F2787" s="39" t="s">
        <v>3392</v>
      </c>
      <c r="G2787" s="44">
        <v>0.1</v>
      </c>
      <c r="H2787" s="39" t="s">
        <v>101</v>
      </c>
      <c r="I2787" s="39" t="s">
        <v>102</v>
      </c>
      <c r="J2787" s="41">
        <v>5000</v>
      </c>
      <c r="K2787" s="42">
        <v>24.9</v>
      </c>
      <c r="L2787" s="43"/>
      <c r="M2787" s="43">
        <f>L2787*K2787</f>
        <v>0</v>
      </c>
      <c r="N2787" s="35">
        <v>4607116264997</v>
      </c>
    </row>
    <row r="2788" spans="1:14" ht="24" customHeight="1" outlineLevel="3" x14ac:dyDescent="0.2">
      <c r="A2788" s="45">
        <v>14530</v>
      </c>
      <c r="B2788" s="37" t="str">
        <f>HYPERLINK("http://sedek.ru/upload/iblock/f62/lunariya_iskushenie.jpg","фото")</f>
        <v>фото</v>
      </c>
      <c r="C2788" s="38"/>
      <c r="D2788" s="38"/>
      <c r="E2788" s="39"/>
      <c r="F2788" s="39" t="s">
        <v>3393</v>
      </c>
      <c r="G2788" s="44">
        <v>0.1</v>
      </c>
      <c r="H2788" s="39" t="s">
        <v>101</v>
      </c>
      <c r="I2788" s="39" t="s">
        <v>102</v>
      </c>
      <c r="J2788" s="41">
        <v>4000</v>
      </c>
      <c r="K2788" s="42">
        <v>21.4</v>
      </c>
      <c r="L2788" s="43"/>
      <c r="M2788" s="43">
        <f>L2788*K2788</f>
        <v>0</v>
      </c>
      <c r="N2788" s="35">
        <v>4607116265000</v>
      </c>
    </row>
    <row r="2789" spans="1:14" ht="24" customHeight="1" outlineLevel="3" x14ac:dyDescent="0.2">
      <c r="A2789" s="45">
        <v>13508</v>
      </c>
      <c r="B2789" s="37" t="str">
        <f>HYPERLINK("http://sedek.ru/upload/iblock/fe0/lvinyy_zev_akvarel_smes.jpg","фото")</f>
        <v>фото</v>
      </c>
      <c r="C2789" s="38"/>
      <c r="D2789" s="38"/>
      <c r="E2789" s="39"/>
      <c r="F2789" s="39" t="s">
        <v>3394</v>
      </c>
      <c r="G2789" s="44">
        <v>0.1</v>
      </c>
      <c r="H2789" s="39" t="s">
        <v>101</v>
      </c>
      <c r="I2789" s="39" t="s">
        <v>102</v>
      </c>
      <c r="J2789" s="41">
        <v>4000</v>
      </c>
      <c r="K2789" s="42">
        <v>21.4</v>
      </c>
      <c r="L2789" s="43"/>
      <c r="M2789" s="43">
        <f>L2789*K2789</f>
        <v>0</v>
      </c>
      <c r="N2789" s="35">
        <v>4607116265017</v>
      </c>
    </row>
    <row r="2790" spans="1:14" ht="24" customHeight="1" outlineLevel="3" x14ac:dyDescent="0.2">
      <c r="A2790" s="45">
        <v>16136</v>
      </c>
      <c r="B2790" s="37" t="str">
        <f>HYPERLINK("http://sedek.ru/upload/iblock/ee1/lvinyy_zev_anna_german.jpg","фото")</f>
        <v>фото</v>
      </c>
      <c r="C2790" s="38"/>
      <c r="D2790" s="38"/>
      <c r="E2790" s="39"/>
      <c r="F2790" s="39" t="s">
        <v>3395</v>
      </c>
      <c r="G2790" s="44">
        <v>0.1</v>
      </c>
      <c r="H2790" s="39" t="s">
        <v>101</v>
      </c>
      <c r="I2790" s="39" t="s">
        <v>102</v>
      </c>
      <c r="J2790" s="41">
        <v>4000</v>
      </c>
      <c r="K2790" s="42">
        <v>21.4</v>
      </c>
      <c r="L2790" s="43"/>
      <c r="M2790" s="43">
        <f>L2790*K2790</f>
        <v>0</v>
      </c>
      <c r="N2790" s="35">
        <v>4607116265024</v>
      </c>
    </row>
    <row r="2791" spans="1:14" ht="24" customHeight="1" outlineLevel="3" x14ac:dyDescent="0.2">
      <c r="A2791" s="45">
        <v>15262</v>
      </c>
      <c r="B2791" s="37" t="str">
        <f>HYPERLINK("http://sedek.ru/upload/iblock/e96/lvinyy_zev_vyzov.jpg","фото")</f>
        <v>фото</v>
      </c>
      <c r="C2791" s="38"/>
      <c r="D2791" s="38"/>
      <c r="E2791" s="39"/>
      <c r="F2791" s="39" t="s">
        <v>3396</v>
      </c>
      <c r="G2791" s="44">
        <v>0.1</v>
      </c>
      <c r="H2791" s="39" t="s">
        <v>101</v>
      </c>
      <c r="I2791" s="39" t="s">
        <v>102</v>
      </c>
      <c r="J2791" s="41">
        <v>4000</v>
      </c>
      <c r="K2791" s="42">
        <v>21.4</v>
      </c>
      <c r="L2791" s="43"/>
      <c r="M2791" s="43">
        <f>L2791*K2791</f>
        <v>0</v>
      </c>
      <c r="N2791" s="35">
        <v>4607116265048</v>
      </c>
    </row>
    <row r="2792" spans="1:14" ht="24" customHeight="1" outlineLevel="3" x14ac:dyDescent="0.2">
      <c r="A2792" s="45">
        <v>16339</v>
      </c>
      <c r="B2792" s="37" t="str">
        <f>HYPERLINK("http://sedek.ru/upload/iblock/7c9/lvinyy_zev_don_bazilio.jpg","фото")</f>
        <v>фото</v>
      </c>
      <c r="C2792" s="38"/>
      <c r="D2792" s="38"/>
      <c r="E2792" s="39"/>
      <c r="F2792" s="39" t="s">
        <v>3397</v>
      </c>
      <c r="G2792" s="44">
        <v>0.1</v>
      </c>
      <c r="H2792" s="39" t="s">
        <v>101</v>
      </c>
      <c r="I2792" s="39" t="s">
        <v>102</v>
      </c>
      <c r="J2792" s="41">
        <v>4000</v>
      </c>
      <c r="K2792" s="42">
        <v>21.4</v>
      </c>
      <c r="L2792" s="43"/>
      <c r="M2792" s="43">
        <f>L2792*K2792</f>
        <v>0</v>
      </c>
      <c r="N2792" s="35">
        <v>4607116265055</v>
      </c>
    </row>
    <row r="2793" spans="1:14" ht="24" customHeight="1" outlineLevel="3" x14ac:dyDescent="0.2">
      <c r="A2793" s="45">
        <v>14641</v>
      </c>
      <c r="B2793" s="37" t="str">
        <f>HYPERLINK("http://sedek.ru/upload/iblock/117/lvinyy_zev_zolotoy_kaskad.jpg","фото")</f>
        <v>фото</v>
      </c>
      <c r="C2793" s="38"/>
      <c r="D2793" s="38"/>
      <c r="E2793" s="39"/>
      <c r="F2793" s="39" t="s">
        <v>3398</v>
      </c>
      <c r="G2793" s="44">
        <v>0.1</v>
      </c>
      <c r="H2793" s="39" t="s">
        <v>101</v>
      </c>
      <c r="I2793" s="39" t="s">
        <v>102</v>
      </c>
      <c r="J2793" s="41">
        <v>4000</v>
      </c>
      <c r="K2793" s="42">
        <v>24.9</v>
      </c>
      <c r="L2793" s="43"/>
      <c r="M2793" s="43">
        <f>L2793*K2793</f>
        <v>0</v>
      </c>
      <c r="N2793" s="35">
        <v>4607116265062</v>
      </c>
    </row>
    <row r="2794" spans="1:14" ht="36" customHeight="1" outlineLevel="3" x14ac:dyDescent="0.2">
      <c r="A2794" s="45">
        <v>15834</v>
      </c>
      <c r="B2794" s="37" t="str">
        <f>HYPERLINK("http://sedek.ru/upload/iblock/979/lvinyy_zev_korolevskaya_smes.jpg","фото")</f>
        <v>фото</v>
      </c>
      <c r="C2794" s="38"/>
      <c r="D2794" s="38"/>
      <c r="E2794" s="39"/>
      <c r="F2794" s="39" t="s">
        <v>3399</v>
      </c>
      <c r="G2794" s="54">
        <v>0.02</v>
      </c>
      <c r="H2794" s="39" t="s">
        <v>101</v>
      </c>
      <c r="I2794" s="39" t="s">
        <v>102</v>
      </c>
      <c r="J2794" s="41">
        <v>4000</v>
      </c>
      <c r="K2794" s="42">
        <v>21.4</v>
      </c>
      <c r="L2794" s="43"/>
      <c r="M2794" s="43">
        <f>L2794*K2794</f>
        <v>0</v>
      </c>
      <c r="N2794" s="35">
        <v>4607149401239</v>
      </c>
    </row>
    <row r="2795" spans="1:14" ht="24" customHeight="1" outlineLevel="3" x14ac:dyDescent="0.2">
      <c r="A2795" s="45">
        <v>17045</v>
      </c>
      <c r="B2795" s="37" t="str">
        <f>HYPERLINK("http://www.sedek.ru/upload/iblock/cf9/lvinyy_zev_marina_f1_vysokiy_malinovyy.jpg","Фото")</f>
        <v>Фото</v>
      </c>
      <c r="C2795" s="38"/>
      <c r="D2795" s="38"/>
      <c r="E2795" s="39"/>
      <c r="F2795" s="39" t="s">
        <v>3400</v>
      </c>
      <c r="G2795" s="40">
        <v>20</v>
      </c>
      <c r="H2795" s="39" t="s">
        <v>101</v>
      </c>
      <c r="I2795" s="39" t="s">
        <v>102</v>
      </c>
      <c r="J2795" s="41">
        <v>4000</v>
      </c>
      <c r="K2795" s="42">
        <v>99.4</v>
      </c>
      <c r="L2795" s="43"/>
      <c r="M2795" s="43">
        <f>L2795*K2795</f>
        <v>0</v>
      </c>
      <c r="N2795" s="35">
        <v>4607116265079</v>
      </c>
    </row>
    <row r="2796" spans="1:14" ht="24" customHeight="1" outlineLevel="3" x14ac:dyDescent="0.2">
      <c r="A2796" s="45">
        <v>14432</v>
      </c>
      <c r="B2796" s="37" t="str">
        <f>HYPERLINK("http://sedek.ru/upload/iblock/296/lvinyy_zev_privet.jpg","фото")</f>
        <v>фото</v>
      </c>
      <c r="C2796" s="38"/>
      <c r="D2796" s="38"/>
      <c r="E2796" s="39"/>
      <c r="F2796" s="39" t="s">
        <v>3401</v>
      </c>
      <c r="G2796" s="44">
        <v>0.1</v>
      </c>
      <c r="H2796" s="39" t="s">
        <v>101</v>
      </c>
      <c r="I2796" s="39" t="s">
        <v>102</v>
      </c>
      <c r="J2796" s="41">
        <v>4000</v>
      </c>
      <c r="K2796" s="42">
        <v>21.4</v>
      </c>
      <c r="L2796" s="43"/>
      <c r="M2796" s="43">
        <f>L2796*K2796</f>
        <v>0</v>
      </c>
      <c r="N2796" s="35">
        <v>4607116265086</v>
      </c>
    </row>
    <row r="2797" spans="1:14" ht="24" customHeight="1" outlineLevel="3" x14ac:dyDescent="0.2">
      <c r="A2797" s="45">
        <v>16023</v>
      </c>
      <c r="B2797" s="37" t="str">
        <f>HYPERLINK("http://sedek.ru/upload/iblock/253/lvinyy_zev_snezhinka.jpg","фото")</f>
        <v>фото</v>
      </c>
      <c r="C2797" s="38"/>
      <c r="D2797" s="38"/>
      <c r="E2797" s="39"/>
      <c r="F2797" s="39" t="s">
        <v>3402</v>
      </c>
      <c r="G2797" s="44">
        <v>0.1</v>
      </c>
      <c r="H2797" s="39" t="s">
        <v>101</v>
      </c>
      <c r="I2797" s="39" t="s">
        <v>102</v>
      </c>
      <c r="J2797" s="41">
        <v>4000</v>
      </c>
      <c r="K2797" s="42">
        <v>21.4</v>
      </c>
      <c r="L2797" s="43"/>
      <c r="M2797" s="43">
        <f>L2797*K2797</f>
        <v>0</v>
      </c>
      <c r="N2797" s="35">
        <v>4607116265093</v>
      </c>
    </row>
    <row r="2798" spans="1:14" ht="24" customHeight="1" outlineLevel="3" x14ac:dyDescent="0.2">
      <c r="A2798" s="45">
        <v>14536</v>
      </c>
      <c r="B2798" s="37" t="str">
        <f>HYPERLINK("http://sedek.ru/upload/iblock/af7/lvinyy_zev_tom_tumb_karlikovyy.jpg","фото")</f>
        <v>фото</v>
      </c>
      <c r="C2798" s="38"/>
      <c r="D2798" s="38"/>
      <c r="E2798" s="39"/>
      <c r="F2798" s="39" t="s">
        <v>3403</v>
      </c>
      <c r="G2798" s="54">
        <v>0.05</v>
      </c>
      <c r="H2798" s="39"/>
      <c r="I2798" s="39" t="s">
        <v>102</v>
      </c>
      <c r="J2798" s="41">
        <v>4000</v>
      </c>
      <c r="K2798" s="42">
        <v>21.4</v>
      </c>
      <c r="L2798" s="43"/>
      <c r="M2798" s="43">
        <f>L2798*K2798</f>
        <v>0</v>
      </c>
      <c r="N2798" s="35">
        <v>4607116265109</v>
      </c>
    </row>
    <row r="2799" spans="1:14" ht="24" customHeight="1" outlineLevel="3" x14ac:dyDescent="0.2">
      <c r="A2799" s="45">
        <v>17046</v>
      </c>
      <c r="B2799" s="37" t="str">
        <f>HYPERLINK("http://www.sedek.ru/upload/iblock/8d3/lvinyy_zev_toreador_f1_vysokiy_temno_krasnyy.jpg","фото")</f>
        <v>фото</v>
      </c>
      <c r="C2799" s="38"/>
      <c r="D2799" s="38"/>
      <c r="E2799" s="39"/>
      <c r="F2799" s="39" t="s">
        <v>3404</v>
      </c>
      <c r="G2799" s="40">
        <v>20</v>
      </c>
      <c r="H2799" s="39" t="s">
        <v>101</v>
      </c>
      <c r="I2799" s="39" t="s">
        <v>102</v>
      </c>
      <c r="J2799" s="41">
        <v>4000</v>
      </c>
      <c r="K2799" s="42">
        <v>99.4</v>
      </c>
      <c r="L2799" s="43"/>
      <c r="M2799" s="43">
        <f>L2799*K2799</f>
        <v>0</v>
      </c>
      <c r="N2799" s="35">
        <v>4607116265116</v>
      </c>
    </row>
    <row r="2800" spans="1:14" ht="36" customHeight="1" outlineLevel="3" x14ac:dyDescent="0.2">
      <c r="A2800" s="45">
        <v>14280</v>
      </c>
      <c r="B2800" s="37" t="str">
        <f>HYPERLINK("http://sedek.ru/upload/iblock/7c1/lnyanka_vodevil_smes.jpg","фото")</f>
        <v>фото</v>
      </c>
      <c r="C2800" s="38"/>
      <c r="D2800" s="38"/>
      <c r="E2800" s="39"/>
      <c r="F2800" s="39" t="s">
        <v>3405</v>
      </c>
      <c r="G2800" s="44">
        <v>0.3</v>
      </c>
      <c r="H2800" s="39" t="s">
        <v>101</v>
      </c>
      <c r="I2800" s="39" t="s">
        <v>102</v>
      </c>
      <c r="J2800" s="41">
        <v>3500</v>
      </c>
      <c r="K2800" s="42">
        <v>24.9</v>
      </c>
      <c r="L2800" s="43"/>
      <c r="M2800" s="43">
        <f>L2800*K2800</f>
        <v>0</v>
      </c>
      <c r="N2800" s="35">
        <v>4607116265130</v>
      </c>
    </row>
    <row r="2801" spans="1:14" ht="24" customHeight="1" outlineLevel="3" x14ac:dyDescent="0.2">
      <c r="A2801" s="45">
        <v>15767</v>
      </c>
      <c r="B2801" s="37" t="str">
        <f>HYPERLINK("http://sedek.ru/upload/iblock/e9f/lyupin_blagorodnyy_rytsar.jpg","фото")</f>
        <v>фото</v>
      </c>
      <c r="C2801" s="38"/>
      <c r="D2801" s="38"/>
      <c r="E2801" s="39"/>
      <c r="F2801" s="39" t="s">
        <v>3406</v>
      </c>
      <c r="G2801" s="44">
        <v>0.3</v>
      </c>
      <c r="H2801" s="39" t="s">
        <v>101</v>
      </c>
      <c r="I2801" s="39" t="s">
        <v>102</v>
      </c>
      <c r="J2801" s="41">
        <v>3000</v>
      </c>
      <c r="K2801" s="42">
        <v>23.3</v>
      </c>
      <c r="L2801" s="43"/>
      <c r="M2801" s="43">
        <f>L2801*K2801</f>
        <v>0</v>
      </c>
      <c r="N2801" s="35">
        <v>4607149401246</v>
      </c>
    </row>
    <row r="2802" spans="1:14" ht="24" customHeight="1" outlineLevel="3" x14ac:dyDescent="0.2">
      <c r="A2802" s="45">
        <v>14026</v>
      </c>
      <c r="B2802" s="37" t="str">
        <f>HYPERLINK("http://sedek.ru/upload/iblock/15d/lyupin_khartvega_king_smes.jpg","фото")</f>
        <v>фото</v>
      </c>
      <c r="C2802" s="38"/>
      <c r="D2802" s="38"/>
      <c r="E2802" s="39"/>
      <c r="F2802" s="39" t="s">
        <v>3407</v>
      </c>
      <c r="G2802" s="40">
        <v>1</v>
      </c>
      <c r="H2802" s="39" t="s">
        <v>101</v>
      </c>
      <c r="I2802" s="39" t="s">
        <v>102</v>
      </c>
      <c r="J2802" s="41">
        <v>3000</v>
      </c>
      <c r="K2802" s="42">
        <v>35.799999999999997</v>
      </c>
      <c r="L2802" s="43"/>
      <c r="M2802" s="43">
        <f>L2802*K2802</f>
        <v>0</v>
      </c>
      <c r="N2802" s="35">
        <v>4607116265147</v>
      </c>
    </row>
    <row r="2803" spans="1:14" ht="24" customHeight="1" outlineLevel="3" x14ac:dyDescent="0.2">
      <c r="A2803" s="45">
        <v>15982</v>
      </c>
      <c r="B2803" s="37" t="str">
        <f>HYPERLINK("http://sedek.ru/upload/iblock/fe0/lyupin_mese_aleksandr.jpg","фото")</f>
        <v>фото</v>
      </c>
      <c r="C2803" s="38"/>
      <c r="D2803" s="38"/>
      <c r="E2803" s="39"/>
      <c r="F2803" s="39" t="s">
        <v>3408</v>
      </c>
      <c r="G2803" s="44">
        <v>0.2</v>
      </c>
      <c r="H2803" s="39" t="s">
        <v>101</v>
      </c>
      <c r="I2803" s="39" t="s">
        <v>102</v>
      </c>
      <c r="J2803" s="41">
        <v>3000</v>
      </c>
      <c r="K2803" s="42">
        <v>48.1</v>
      </c>
      <c r="L2803" s="43"/>
      <c r="M2803" s="43">
        <f>L2803*K2803</f>
        <v>0</v>
      </c>
      <c r="N2803" s="35">
        <v>4607149407910</v>
      </c>
    </row>
    <row r="2804" spans="1:14" ht="24" customHeight="1" outlineLevel="3" x14ac:dyDescent="0.2">
      <c r="A2804" s="45">
        <v>15759</v>
      </c>
      <c r="B2804" s="37" t="str">
        <f>HYPERLINK("http://sedek.ru/upload/iblock/bc7/lyupin_mese_viktor.jpg","фото")</f>
        <v>фото</v>
      </c>
      <c r="C2804" s="38"/>
      <c r="D2804" s="38"/>
      <c r="E2804" s="39"/>
      <c r="F2804" s="39" t="s">
        <v>3409</v>
      </c>
      <c r="G2804" s="44">
        <v>0.2</v>
      </c>
      <c r="H2804" s="39" t="s">
        <v>101</v>
      </c>
      <c r="I2804" s="39" t="s">
        <v>102</v>
      </c>
      <c r="J2804" s="41">
        <v>3000</v>
      </c>
      <c r="K2804" s="42">
        <v>48.1</v>
      </c>
      <c r="L2804" s="43"/>
      <c r="M2804" s="43">
        <f>L2804*K2804</f>
        <v>0</v>
      </c>
      <c r="N2804" s="35">
        <v>4607149407927</v>
      </c>
    </row>
    <row r="2805" spans="1:14" ht="24" customHeight="1" outlineLevel="3" x14ac:dyDescent="0.2">
      <c r="A2805" s="45">
        <v>14865</v>
      </c>
      <c r="B2805" s="37" t="str">
        <f>HYPERLINK("http://www.sedek.ru/upload/iblock/060/lyupin_mese_sharl_belyy.jpg","Фото")</f>
        <v>Фото</v>
      </c>
      <c r="C2805" s="38"/>
      <c r="D2805" s="38"/>
      <c r="E2805" s="39"/>
      <c r="F2805" s="39" t="s">
        <v>3410</v>
      </c>
      <c r="G2805" s="44">
        <v>0.2</v>
      </c>
      <c r="H2805" s="39" t="s">
        <v>101</v>
      </c>
      <c r="I2805" s="39" t="s">
        <v>102</v>
      </c>
      <c r="J2805" s="41">
        <v>3000</v>
      </c>
      <c r="K2805" s="42">
        <v>43</v>
      </c>
      <c r="L2805" s="43"/>
      <c r="M2805" s="43">
        <f>L2805*K2805</f>
        <v>0</v>
      </c>
      <c r="N2805" s="35">
        <v>4607149407941</v>
      </c>
    </row>
    <row r="2806" spans="1:14" ht="12" customHeight="1" outlineLevel="3" x14ac:dyDescent="0.2">
      <c r="A2806" s="45">
        <v>14422</v>
      </c>
      <c r="B2806" s="37"/>
      <c r="C2806" s="38"/>
      <c r="D2806" s="38"/>
      <c r="E2806" s="39"/>
      <c r="F2806" s="39" t="s">
        <v>3411</v>
      </c>
      <c r="G2806" s="44">
        <v>0.2</v>
      </c>
      <c r="H2806" s="39" t="s">
        <v>101</v>
      </c>
      <c r="I2806" s="39" t="s">
        <v>102</v>
      </c>
      <c r="J2806" s="41">
        <v>3000</v>
      </c>
      <c r="K2806" s="42">
        <v>43</v>
      </c>
      <c r="L2806" s="43"/>
      <c r="M2806" s="43">
        <f>L2806*K2806</f>
        <v>0</v>
      </c>
      <c r="N2806" s="35">
        <v>4607149407965</v>
      </c>
    </row>
    <row r="2807" spans="1:14" ht="24" customHeight="1" outlineLevel="3" x14ac:dyDescent="0.2">
      <c r="A2807" s="45">
        <v>13603</v>
      </c>
      <c r="B2807" s="37" t="str">
        <f>HYPERLINK("http://www.sedek.ru/upload/iblock/1a1/lyupin_pridvornaya_dama.jpg","фото")</f>
        <v>фото</v>
      </c>
      <c r="C2807" s="38"/>
      <c r="D2807" s="38"/>
      <c r="E2807" s="39"/>
      <c r="F2807" s="39" t="s">
        <v>3412</v>
      </c>
      <c r="G2807" s="44">
        <v>0.3</v>
      </c>
      <c r="H2807" s="39" t="s">
        <v>101</v>
      </c>
      <c r="I2807" s="39" t="s">
        <v>102</v>
      </c>
      <c r="J2807" s="41">
        <v>3000</v>
      </c>
      <c r="K2807" s="42">
        <v>23.3</v>
      </c>
      <c r="L2807" s="43"/>
      <c r="M2807" s="43">
        <f>L2807*K2807</f>
        <v>0</v>
      </c>
      <c r="N2807" s="35">
        <v>4607149401253</v>
      </c>
    </row>
    <row r="2808" spans="1:14" ht="24" customHeight="1" outlineLevel="3" x14ac:dyDescent="0.2">
      <c r="A2808" s="45">
        <v>15665</v>
      </c>
      <c r="B2808" s="37" t="str">
        <f>HYPERLINK("http://www.sedek.ru/upload/iblock/f82/lyupin_rapsodiya_.jpg","Фото")</f>
        <v>Фото</v>
      </c>
      <c r="C2808" s="38"/>
      <c r="D2808" s="38"/>
      <c r="E2808" s="39"/>
      <c r="F2808" s="39" t="s">
        <v>3413</v>
      </c>
      <c r="G2808" s="40">
        <v>1</v>
      </c>
      <c r="H2808" s="39" t="s">
        <v>101</v>
      </c>
      <c r="I2808" s="39" t="s">
        <v>102</v>
      </c>
      <c r="J2808" s="41">
        <v>3000</v>
      </c>
      <c r="K2808" s="42">
        <v>25.6</v>
      </c>
      <c r="L2808" s="43"/>
      <c r="M2808" s="43">
        <f>L2808*K2808</f>
        <v>0</v>
      </c>
      <c r="N2808" s="35">
        <v>4690368009560</v>
      </c>
    </row>
    <row r="2809" spans="1:14" ht="36" customHeight="1" outlineLevel="3" x14ac:dyDescent="0.2">
      <c r="A2809" s="45">
        <v>13616</v>
      </c>
      <c r="B2809" s="37" t="str">
        <f>HYPERLINK("http://sedek.ru/upload/iblock/fde/malopa_svita_trekhnadreznaya_smes.jpg","фото")</f>
        <v>фото</v>
      </c>
      <c r="C2809" s="38"/>
      <c r="D2809" s="38"/>
      <c r="E2809" s="39"/>
      <c r="F2809" s="39" t="s">
        <v>3414</v>
      </c>
      <c r="G2809" s="44">
        <v>0.5</v>
      </c>
      <c r="H2809" s="39" t="s">
        <v>101</v>
      </c>
      <c r="I2809" s="39" t="s">
        <v>102</v>
      </c>
      <c r="J2809" s="41">
        <v>2500</v>
      </c>
      <c r="K2809" s="42">
        <v>21.4</v>
      </c>
      <c r="L2809" s="43"/>
      <c r="M2809" s="43">
        <f>L2809*K2809</f>
        <v>0</v>
      </c>
      <c r="N2809" s="35">
        <v>4607116265208</v>
      </c>
    </row>
    <row r="2810" spans="1:14" ht="24" customHeight="1" outlineLevel="3" x14ac:dyDescent="0.2">
      <c r="A2810" s="45">
        <v>17047</v>
      </c>
      <c r="B2810" s="37" t="str">
        <f>HYPERLINK("http://www.sedek.ru/upload/iblock/f57/malva_palermo.jpg","фото")</f>
        <v>фото</v>
      </c>
      <c r="C2810" s="38"/>
      <c r="D2810" s="38"/>
      <c r="E2810" s="39"/>
      <c r="F2810" s="39" t="s">
        <v>3415</v>
      </c>
      <c r="G2810" s="44">
        <v>0.1</v>
      </c>
      <c r="H2810" s="39" t="s">
        <v>101</v>
      </c>
      <c r="I2810" s="39" t="s">
        <v>102</v>
      </c>
      <c r="J2810" s="41">
        <v>3000</v>
      </c>
      <c r="K2810" s="42">
        <v>21.4</v>
      </c>
      <c r="L2810" s="43"/>
      <c r="M2810" s="43">
        <f>L2810*K2810</f>
        <v>0</v>
      </c>
      <c r="N2810" s="35">
        <v>4607149403950</v>
      </c>
    </row>
    <row r="2811" spans="1:14" ht="24" customHeight="1" outlineLevel="3" x14ac:dyDescent="0.2">
      <c r="A2811" s="45">
        <v>15011</v>
      </c>
      <c r="B2811" s="37" t="str">
        <f>HYPERLINK("http://sedek.ru/upload/iblock/a93/margaritka_kapskaya_ditya_prirody.jpg","фото")</f>
        <v>фото</v>
      </c>
      <c r="C2811" s="38"/>
      <c r="D2811" s="38"/>
      <c r="E2811" s="39"/>
      <c r="F2811" s="39" t="s">
        <v>3416</v>
      </c>
      <c r="G2811" s="44">
        <v>0.1</v>
      </c>
      <c r="H2811" s="39" t="s">
        <v>101</v>
      </c>
      <c r="I2811" s="39" t="s">
        <v>102</v>
      </c>
      <c r="J2811" s="41">
        <v>3000</v>
      </c>
      <c r="K2811" s="42">
        <v>24.9</v>
      </c>
      <c r="L2811" s="43"/>
      <c r="M2811" s="43">
        <f>L2811*K2811</f>
        <v>0</v>
      </c>
      <c r="N2811" s="35">
        <v>4690368019026</v>
      </c>
    </row>
    <row r="2812" spans="1:14" ht="24" customHeight="1" outlineLevel="3" x14ac:dyDescent="0.2">
      <c r="A2812" s="45">
        <v>14910</v>
      </c>
      <c r="B2812" s="37" t="str">
        <f>HYPERLINK("http://sedek.ru/upload/iblock/026/margaritka_pani_vanda.jpg","фото")</f>
        <v>фото</v>
      </c>
      <c r="C2812" s="38"/>
      <c r="D2812" s="38"/>
      <c r="E2812" s="39"/>
      <c r="F2812" s="39" t="s">
        <v>3417</v>
      </c>
      <c r="G2812" s="54">
        <v>0.05</v>
      </c>
      <c r="H2812" s="39" t="s">
        <v>101</v>
      </c>
      <c r="I2812" s="39" t="s">
        <v>102</v>
      </c>
      <c r="J2812" s="41">
        <v>3000</v>
      </c>
      <c r="K2812" s="42">
        <v>31.4</v>
      </c>
      <c r="L2812" s="43"/>
      <c r="M2812" s="43">
        <f>L2812*K2812</f>
        <v>0</v>
      </c>
      <c r="N2812" s="35">
        <v>4690368017602</v>
      </c>
    </row>
    <row r="2813" spans="1:14" ht="36" customHeight="1" outlineLevel="3" x14ac:dyDescent="0.2">
      <c r="A2813" s="45">
        <v>16273</v>
      </c>
      <c r="B2813" s="37" t="str">
        <f>HYPERLINK("http://sedek.ru/upload/iblock/6a5/margaritka_pani_zosya_smes.jpg","фото")</f>
        <v>фото</v>
      </c>
      <c r="C2813" s="38"/>
      <c r="D2813" s="38"/>
      <c r="E2813" s="39"/>
      <c r="F2813" s="39" t="s">
        <v>3418</v>
      </c>
      <c r="G2813" s="54">
        <v>0.04</v>
      </c>
      <c r="H2813" s="39" t="s">
        <v>101</v>
      </c>
      <c r="I2813" s="39" t="s">
        <v>102</v>
      </c>
      <c r="J2813" s="41">
        <v>3000</v>
      </c>
      <c r="K2813" s="42">
        <v>23.35</v>
      </c>
      <c r="L2813" s="43"/>
      <c r="M2813" s="43">
        <f>L2813*K2813</f>
        <v>0</v>
      </c>
      <c r="N2813" s="35">
        <v>4607149407972</v>
      </c>
    </row>
    <row r="2814" spans="1:14" ht="24" customHeight="1" outlineLevel="3" x14ac:dyDescent="0.2">
      <c r="A2814" s="45">
        <v>14209</v>
      </c>
      <c r="B2814" s="37" t="str">
        <f>HYPERLINK("http://sedek.ru/upload/iblock/6ac/mattiola_nochnaya_fialka_tsaritsa_nochi.jpg","фото")</f>
        <v>фото</v>
      </c>
      <c r="C2814" s="38"/>
      <c r="D2814" s="38"/>
      <c r="E2814" s="39"/>
      <c r="F2814" s="39" t="s">
        <v>3419</v>
      </c>
      <c r="G2814" s="44">
        <v>0.3</v>
      </c>
      <c r="H2814" s="39" t="s">
        <v>101</v>
      </c>
      <c r="I2814" s="39" t="s">
        <v>102</v>
      </c>
      <c r="J2814" s="41">
        <v>3000</v>
      </c>
      <c r="K2814" s="42">
        <v>21.4</v>
      </c>
      <c r="L2814" s="43"/>
      <c r="M2814" s="43">
        <f>L2814*K2814</f>
        <v>0</v>
      </c>
      <c r="N2814" s="35">
        <v>4607116265246</v>
      </c>
    </row>
    <row r="2815" spans="1:14" ht="24" customHeight="1" outlineLevel="3" x14ac:dyDescent="0.2">
      <c r="A2815" s="45">
        <v>14738</v>
      </c>
      <c r="B2815" s="37" t="str">
        <f>HYPERLINK("http://sedek.ru/upload/iblock/139/mimulyus_yumoreska_smes.jpg","фото")</f>
        <v>фото</v>
      </c>
      <c r="C2815" s="38"/>
      <c r="D2815" s="38"/>
      <c r="E2815" s="39"/>
      <c r="F2815" s="39" t="s">
        <v>3420</v>
      </c>
      <c r="G2815" s="54">
        <v>0.05</v>
      </c>
      <c r="H2815" s="39" t="s">
        <v>101</v>
      </c>
      <c r="I2815" s="39" t="s">
        <v>102</v>
      </c>
      <c r="J2815" s="41">
        <v>4000</v>
      </c>
      <c r="K2815" s="42">
        <v>24.9</v>
      </c>
      <c r="L2815" s="43"/>
      <c r="M2815" s="43">
        <f>L2815*K2815</f>
        <v>0</v>
      </c>
      <c r="N2815" s="35">
        <v>4607116265260</v>
      </c>
    </row>
    <row r="2816" spans="1:14" ht="24" customHeight="1" outlineLevel="3" x14ac:dyDescent="0.2">
      <c r="A2816" s="45">
        <v>15058</v>
      </c>
      <c r="B2816" s="37" t="str">
        <f>HYPERLINK("http://sedek.ru/upload/iblock/2a5/mirabilis_letniy_motiv_smes.jpg","фото")</f>
        <v>фото</v>
      </c>
      <c r="C2816" s="38"/>
      <c r="D2816" s="38"/>
      <c r="E2816" s="39"/>
      <c r="F2816" s="39" t="s">
        <v>3421</v>
      </c>
      <c r="G2816" s="40">
        <v>1</v>
      </c>
      <c r="H2816" s="39" t="s">
        <v>101</v>
      </c>
      <c r="I2816" s="39" t="s">
        <v>102</v>
      </c>
      <c r="J2816" s="41">
        <v>2000</v>
      </c>
      <c r="K2816" s="42">
        <v>21.4</v>
      </c>
      <c r="L2816" s="43"/>
      <c r="M2816" s="43">
        <f>L2816*K2816</f>
        <v>0</v>
      </c>
      <c r="N2816" s="35">
        <v>4607116265277</v>
      </c>
    </row>
    <row r="2817" spans="1:14" ht="36" customHeight="1" outlineLevel="3" x14ac:dyDescent="0.2">
      <c r="A2817" s="45">
        <v>14368</v>
      </c>
      <c r="B2817" s="37" t="str">
        <f>HYPERLINK("http://sedek.ru/upload/iblock/5ec/molochay_gornyy_sneg.jpg","фото")</f>
        <v>фото</v>
      </c>
      <c r="C2817" s="38"/>
      <c r="D2817" s="38"/>
      <c r="E2817" s="39"/>
      <c r="F2817" s="39" t="s">
        <v>3422</v>
      </c>
      <c r="G2817" s="44">
        <v>0.3</v>
      </c>
      <c r="H2817" s="39" t="s">
        <v>101</v>
      </c>
      <c r="I2817" s="39" t="s">
        <v>102</v>
      </c>
      <c r="J2817" s="41">
        <v>2000</v>
      </c>
      <c r="K2817" s="42">
        <v>23.3</v>
      </c>
      <c r="L2817" s="43"/>
      <c r="M2817" s="43">
        <f>L2817*K2817</f>
        <v>0</v>
      </c>
      <c r="N2817" s="35">
        <v>4607116265284</v>
      </c>
    </row>
    <row r="2818" spans="1:14" ht="24" customHeight="1" outlineLevel="3" x14ac:dyDescent="0.2">
      <c r="A2818" s="45">
        <v>16483</v>
      </c>
      <c r="B2818" s="37" t="str">
        <f>HYPERLINK("http://sedek.ru/upload/iblock/03f/Монарда лимонная Диана (Н).JPG","фото")</f>
        <v>фото</v>
      </c>
      <c r="C2818" s="38"/>
      <c r="D2818" s="38"/>
      <c r="E2818" s="39"/>
      <c r="F2818" s="39" t="s">
        <v>3423</v>
      </c>
      <c r="G2818" s="44">
        <v>0.1</v>
      </c>
      <c r="H2818" s="39" t="s">
        <v>101</v>
      </c>
      <c r="I2818" s="39" t="s">
        <v>102</v>
      </c>
      <c r="J2818" s="41">
        <v>3500</v>
      </c>
      <c r="K2818" s="42">
        <v>21.4</v>
      </c>
      <c r="L2818" s="43"/>
      <c r="M2818" s="43">
        <f>L2818*K2818</f>
        <v>0</v>
      </c>
      <c r="N2818" s="35">
        <v>4607116265307</v>
      </c>
    </row>
    <row r="2819" spans="1:14" ht="36" customHeight="1" outlineLevel="3" x14ac:dyDescent="0.2">
      <c r="A2819" s="45">
        <v>15719</v>
      </c>
      <c r="B2819" s="37" t="str">
        <f>HYPERLINK("http://sedek.ru/upload/iblock/8e2/naperstyanka_muza.jpg","фото")</f>
        <v>фото</v>
      </c>
      <c r="C2819" s="38"/>
      <c r="D2819" s="38"/>
      <c r="E2819" s="39"/>
      <c r="F2819" s="39" t="s">
        <v>3424</v>
      </c>
      <c r="G2819" s="44">
        <v>0.1</v>
      </c>
      <c r="H2819" s="39" t="s">
        <v>101</v>
      </c>
      <c r="I2819" s="39" t="s">
        <v>102</v>
      </c>
      <c r="J2819" s="41">
        <v>4000</v>
      </c>
      <c r="K2819" s="42">
        <v>21.4</v>
      </c>
      <c r="L2819" s="43"/>
      <c r="M2819" s="43">
        <f>L2819*K2819</f>
        <v>0</v>
      </c>
      <c r="N2819" s="35">
        <v>4607116265314</v>
      </c>
    </row>
    <row r="2820" spans="1:14" ht="36" customHeight="1" outlineLevel="3" x14ac:dyDescent="0.2">
      <c r="A2820" s="45">
        <v>16091</v>
      </c>
      <c r="B2820" s="37" t="str">
        <f>HYPERLINK("http://www.sedek.ru/upload/iblock/415/nasturtsiya_alina_vyushchayasya.jpg ","фото")</f>
        <v>фото</v>
      </c>
      <c r="C2820" s="38"/>
      <c r="D2820" s="38"/>
      <c r="E2820" s="39"/>
      <c r="F2820" s="39" t="s">
        <v>3425</v>
      </c>
      <c r="G2820" s="40">
        <v>1</v>
      </c>
      <c r="H2820" s="39" t="s">
        <v>101</v>
      </c>
      <c r="I2820" s="39" t="s">
        <v>102</v>
      </c>
      <c r="J2820" s="41">
        <v>1500</v>
      </c>
      <c r="K2820" s="42">
        <v>24.9</v>
      </c>
      <c r="L2820" s="43"/>
      <c r="M2820" s="43">
        <f>L2820*K2820</f>
        <v>0</v>
      </c>
      <c r="N2820" s="35">
        <v>4607116265321</v>
      </c>
    </row>
    <row r="2821" spans="1:14" ht="24" customHeight="1" outlineLevel="3" x14ac:dyDescent="0.2">
      <c r="A2821" s="45">
        <v>15266</v>
      </c>
      <c r="B2821" s="37" t="str">
        <f>HYPERLINK("http://www.sedek.ru/upload/iblock/544/nasturtsiya_nizkoroslaya_alyaska.jpg","фото")</f>
        <v>фото</v>
      </c>
      <c r="C2821" s="38"/>
      <c r="D2821" s="38"/>
      <c r="E2821" s="39"/>
      <c r="F2821" s="39" t="s">
        <v>3426</v>
      </c>
      <c r="G2821" s="40">
        <v>1</v>
      </c>
      <c r="H2821" s="39" t="s">
        <v>101</v>
      </c>
      <c r="I2821" s="39" t="s">
        <v>102</v>
      </c>
      <c r="J2821" s="41">
        <v>1500</v>
      </c>
      <c r="K2821" s="42">
        <v>21.4</v>
      </c>
      <c r="L2821" s="43"/>
      <c r="M2821" s="43">
        <f>L2821*K2821</f>
        <v>0</v>
      </c>
      <c r="N2821" s="35">
        <v>4607149407989</v>
      </c>
    </row>
    <row r="2822" spans="1:14" ht="24" customHeight="1" outlineLevel="3" x14ac:dyDescent="0.2">
      <c r="A2822" s="45">
        <v>13867</v>
      </c>
      <c r="B2822" s="37" t="str">
        <f>HYPERLINK("http://sedek.ru/upload/iblock/dda/nasturtsiya_anyutka_makhrovaya.jpg","фото")</f>
        <v>фото</v>
      </c>
      <c r="C2822" s="38"/>
      <c r="D2822" s="38"/>
      <c r="E2822" s="39"/>
      <c r="F2822" s="39" t="s">
        <v>3427</v>
      </c>
      <c r="G2822" s="40">
        <v>1</v>
      </c>
      <c r="H2822" s="39" t="s">
        <v>101</v>
      </c>
      <c r="I2822" s="39" t="s">
        <v>102</v>
      </c>
      <c r="J2822" s="41">
        <v>1500</v>
      </c>
      <c r="K2822" s="42">
        <v>24.9</v>
      </c>
      <c r="L2822" s="43"/>
      <c r="M2822" s="43">
        <f>L2822*K2822</f>
        <v>0</v>
      </c>
      <c r="N2822" s="35">
        <v>4607116265338</v>
      </c>
    </row>
    <row r="2823" spans="1:14" ht="24" customHeight="1" outlineLevel="3" x14ac:dyDescent="0.2">
      <c r="A2823" s="45">
        <v>15036</v>
      </c>
      <c r="B2823" s="37" t="str">
        <f>HYPERLINK("http://sedek.ru/upload/iblock/272/nasturtsiya_vezuviy.jpg","фото")</f>
        <v>фото</v>
      </c>
      <c r="C2823" s="38"/>
      <c r="D2823" s="38"/>
      <c r="E2823" s="39"/>
      <c r="F2823" s="39" t="s">
        <v>3428</v>
      </c>
      <c r="G2823" s="40">
        <v>1</v>
      </c>
      <c r="H2823" s="39" t="s">
        <v>101</v>
      </c>
      <c r="I2823" s="39" t="s">
        <v>102</v>
      </c>
      <c r="J2823" s="41">
        <v>1500</v>
      </c>
      <c r="K2823" s="42">
        <v>24.9</v>
      </c>
      <c r="L2823" s="43"/>
      <c r="M2823" s="43">
        <f>L2823*K2823</f>
        <v>0</v>
      </c>
      <c r="N2823" s="35">
        <v>4690368019293</v>
      </c>
    </row>
    <row r="2824" spans="1:14" ht="36" customHeight="1" outlineLevel="3" x14ac:dyDescent="0.2">
      <c r="A2824" s="45">
        <v>16379</v>
      </c>
      <c r="B2824" s="37" t="str">
        <f>HYPERLINK("http://sedek.ru/upload/iblock/50a/nasturtsiya_koketka_karlikovaya_smes.jpg","фото")</f>
        <v>фото</v>
      </c>
      <c r="C2824" s="38"/>
      <c r="D2824" s="38"/>
      <c r="E2824" s="39"/>
      <c r="F2824" s="39" t="s">
        <v>3429</v>
      </c>
      <c r="G2824" s="40">
        <v>1</v>
      </c>
      <c r="H2824" s="39" t="s">
        <v>101</v>
      </c>
      <c r="I2824" s="39" t="s">
        <v>102</v>
      </c>
      <c r="J2824" s="41">
        <v>1500</v>
      </c>
      <c r="K2824" s="42">
        <v>21.4</v>
      </c>
      <c r="L2824" s="43"/>
      <c r="M2824" s="43">
        <f>L2824*K2824</f>
        <v>0</v>
      </c>
      <c r="N2824" s="35">
        <v>4607116265345</v>
      </c>
    </row>
    <row r="2825" spans="1:14" ht="36" customHeight="1" outlineLevel="3" x14ac:dyDescent="0.2">
      <c r="A2825" s="45">
        <v>16437</v>
      </c>
      <c r="B2825" s="37" t="str">
        <f>HYPERLINK("http://sedek.ru/upload/iblock/f02/nasturtsiya_konfetti.jpg","фото")</f>
        <v>фото</v>
      </c>
      <c r="C2825" s="38"/>
      <c r="D2825" s="38"/>
      <c r="E2825" s="39"/>
      <c r="F2825" s="39" t="s">
        <v>3430</v>
      </c>
      <c r="G2825" s="40">
        <v>1</v>
      </c>
      <c r="H2825" s="39" t="s">
        <v>101</v>
      </c>
      <c r="I2825" s="39" t="s">
        <v>102</v>
      </c>
      <c r="J2825" s="41">
        <v>1500</v>
      </c>
      <c r="K2825" s="42">
        <v>30.9</v>
      </c>
      <c r="L2825" s="43"/>
      <c r="M2825" s="43">
        <f>L2825*K2825</f>
        <v>0</v>
      </c>
      <c r="N2825" s="35">
        <v>4607149407996</v>
      </c>
    </row>
    <row r="2826" spans="1:14" ht="24" customHeight="1" outlineLevel="3" x14ac:dyDescent="0.2">
      <c r="A2826" s="45">
        <v>14563</v>
      </c>
      <c r="B2826" s="37" t="str">
        <f>HYPERLINK("http://sedek.ru/upload/iblock/db6/nasturtsiya_oranzhevyy_luch.jpg","фото")</f>
        <v>фото</v>
      </c>
      <c r="C2826" s="38"/>
      <c r="D2826" s="38"/>
      <c r="E2826" s="39"/>
      <c r="F2826" s="39" t="s">
        <v>3431</v>
      </c>
      <c r="G2826" s="40">
        <v>1</v>
      </c>
      <c r="H2826" s="39" t="s">
        <v>101</v>
      </c>
      <c r="I2826" s="39" t="s">
        <v>102</v>
      </c>
      <c r="J2826" s="41">
        <v>1500</v>
      </c>
      <c r="K2826" s="42">
        <v>24.9</v>
      </c>
      <c r="L2826" s="43"/>
      <c r="M2826" s="43">
        <f>L2826*K2826</f>
        <v>0</v>
      </c>
      <c r="N2826" s="35">
        <v>4607116265369</v>
      </c>
    </row>
    <row r="2827" spans="1:14" ht="24" customHeight="1" outlineLevel="3" x14ac:dyDescent="0.2">
      <c r="A2827" s="45">
        <v>13808</v>
      </c>
      <c r="B2827" s="37" t="str">
        <f>HYPERLINK("http://sedek.ru/upload/iblock/69d/nasturtsiya_pompadur_smes.jpg","фото")</f>
        <v>фото</v>
      </c>
      <c r="C2827" s="38"/>
      <c r="D2827" s="38"/>
      <c r="E2827" s="39"/>
      <c r="F2827" s="39" t="s">
        <v>3432</v>
      </c>
      <c r="G2827" s="40">
        <v>1</v>
      </c>
      <c r="H2827" s="39" t="s">
        <v>101</v>
      </c>
      <c r="I2827" s="39" t="s">
        <v>102</v>
      </c>
      <c r="J2827" s="41">
        <v>1500</v>
      </c>
      <c r="K2827" s="42">
        <v>24.9</v>
      </c>
      <c r="L2827" s="43"/>
      <c r="M2827" s="43">
        <f>L2827*K2827</f>
        <v>0</v>
      </c>
      <c r="N2827" s="35">
        <v>4607116265352</v>
      </c>
    </row>
    <row r="2828" spans="1:14" ht="24" customHeight="1" outlineLevel="3" x14ac:dyDescent="0.2">
      <c r="A2828" s="46">
        <v>15567</v>
      </c>
      <c r="B2828" s="47" t="str">
        <f>HYPERLINK("http://sedek.ru/upload/iblock/231/nasturtsiya_printsessa_indii.jpg","фото")</f>
        <v>фото</v>
      </c>
      <c r="C2828" s="48"/>
      <c r="D2828" s="48"/>
      <c r="E2828" s="49"/>
      <c r="F2828" s="49" t="s">
        <v>3433</v>
      </c>
      <c r="G2828" s="50">
        <v>1</v>
      </c>
      <c r="H2828" s="49" t="s">
        <v>101</v>
      </c>
      <c r="I2828" s="49" t="s">
        <v>102</v>
      </c>
      <c r="J2828" s="51">
        <v>1500</v>
      </c>
      <c r="K2828" s="52">
        <v>25.4</v>
      </c>
      <c r="L2828" s="53"/>
      <c r="M2828" s="53">
        <f>L2828*K2828</f>
        <v>0</v>
      </c>
      <c r="N2828" s="35">
        <v>4607149408009</v>
      </c>
    </row>
    <row r="2829" spans="1:14" ht="36" customHeight="1" outlineLevel="3" x14ac:dyDescent="0.2">
      <c r="A2829" s="45">
        <v>13758</v>
      </c>
      <c r="B2829" s="37" t="str">
        <f>HYPERLINK("http://sedek.ru/upload/iblock/96e/nasturtsiya_faina.jpg","фото")</f>
        <v>фото</v>
      </c>
      <c r="C2829" s="38"/>
      <c r="D2829" s="38"/>
      <c r="E2829" s="39"/>
      <c r="F2829" s="39" t="s">
        <v>3434</v>
      </c>
      <c r="G2829" s="44">
        <v>0.5</v>
      </c>
      <c r="H2829" s="39" t="s">
        <v>101</v>
      </c>
      <c r="I2829" s="39" t="s">
        <v>102</v>
      </c>
      <c r="J2829" s="41">
        <v>1500</v>
      </c>
      <c r="K2829" s="42">
        <v>20.399999999999999</v>
      </c>
      <c r="L2829" s="43"/>
      <c r="M2829" s="43">
        <f>L2829*K2829</f>
        <v>0</v>
      </c>
      <c r="N2829" s="35">
        <v>4607149401291</v>
      </c>
    </row>
    <row r="2830" spans="1:14" ht="24" customHeight="1" outlineLevel="3" x14ac:dyDescent="0.2">
      <c r="A2830" s="45">
        <v>15038</v>
      </c>
      <c r="B2830" s="37" t="str">
        <f>HYPERLINK("http://sedek.ru/upload/iblock/092/nasturtsiya_cha_cha_cha.jpg","фото")</f>
        <v>фото</v>
      </c>
      <c r="C2830" s="38"/>
      <c r="D2830" s="38"/>
      <c r="E2830" s="39"/>
      <c r="F2830" s="39" t="s">
        <v>3435</v>
      </c>
      <c r="G2830" s="44">
        <v>0.5</v>
      </c>
      <c r="H2830" s="39" t="s">
        <v>101</v>
      </c>
      <c r="I2830" s="39" t="s">
        <v>102</v>
      </c>
      <c r="J2830" s="41">
        <v>1500</v>
      </c>
      <c r="K2830" s="42">
        <v>21.4</v>
      </c>
      <c r="L2830" s="43"/>
      <c r="M2830" s="43">
        <f>L2830*K2830</f>
        <v>0</v>
      </c>
      <c r="N2830" s="35">
        <v>4690368019316</v>
      </c>
    </row>
    <row r="2831" spans="1:14" ht="24" customHeight="1" outlineLevel="3" x14ac:dyDescent="0.2">
      <c r="A2831" s="45">
        <v>15037</v>
      </c>
      <c r="B2831" s="37" t="str">
        <f>HYPERLINK("http://sedek.ru/upload/iblock/c5a/nasturtsiya_yagodka.jpg","фото")</f>
        <v>фото</v>
      </c>
      <c r="C2831" s="38"/>
      <c r="D2831" s="38"/>
      <c r="E2831" s="39"/>
      <c r="F2831" s="39" t="s">
        <v>3436</v>
      </c>
      <c r="G2831" s="40">
        <v>1</v>
      </c>
      <c r="H2831" s="39" t="s">
        <v>101</v>
      </c>
      <c r="I2831" s="39" t="s">
        <v>102</v>
      </c>
      <c r="J2831" s="41">
        <v>1500</v>
      </c>
      <c r="K2831" s="42">
        <v>28.2</v>
      </c>
      <c r="L2831" s="43"/>
      <c r="M2831" s="43">
        <f>L2831*K2831</f>
        <v>0</v>
      </c>
      <c r="N2831" s="35">
        <v>4690368019309</v>
      </c>
    </row>
    <row r="2832" spans="1:14" ht="24" customHeight="1" outlineLevel="3" x14ac:dyDescent="0.2">
      <c r="A2832" s="45">
        <v>16231</v>
      </c>
      <c r="B2832" s="37" t="str">
        <f>HYPERLINK("http://sedek.ru/upload/iblock/17a/nezabudka_viktoriya.jpg","фото")</f>
        <v>фото</v>
      </c>
      <c r="C2832" s="38"/>
      <c r="D2832" s="38"/>
      <c r="E2832" s="39"/>
      <c r="F2832" s="39" t="s">
        <v>3437</v>
      </c>
      <c r="G2832" s="44">
        <v>0.2</v>
      </c>
      <c r="H2832" s="39" t="s">
        <v>101</v>
      </c>
      <c r="I2832" s="39" t="s">
        <v>102</v>
      </c>
      <c r="J2832" s="41">
        <v>4000</v>
      </c>
      <c r="K2832" s="42">
        <v>30.3</v>
      </c>
      <c r="L2832" s="43"/>
      <c r="M2832" s="43">
        <f>L2832*K2832</f>
        <v>0</v>
      </c>
      <c r="N2832" s="35">
        <v>4607149408016</v>
      </c>
    </row>
    <row r="2833" spans="1:14" ht="24" customHeight="1" outlineLevel="3" x14ac:dyDescent="0.2">
      <c r="A2833" s="45">
        <v>14082</v>
      </c>
      <c r="B2833" s="37" t="str">
        <f>HYPERLINK("http://sedek.ru/upload/iblock/dcc/nemeziya_veselaya_vdova.jpg","фото")</f>
        <v>фото</v>
      </c>
      <c r="C2833" s="38"/>
      <c r="D2833" s="38"/>
      <c r="E2833" s="39"/>
      <c r="F2833" s="39" t="s">
        <v>3438</v>
      </c>
      <c r="G2833" s="54">
        <v>0.05</v>
      </c>
      <c r="H2833" s="39" t="s">
        <v>101</v>
      </c>
      <c r="I2833" s="39" t="s">
        <v>102</v>
      </c>
      <c r="J2833" s="41">
        <v>3500</v>
      </c>
      <c r="K2833" s="42">
        <v>26.9</v>
      </c>
      <c r="L2833" s="43"/>
      <c r="M2833" s="43">
        <f>L2833*K2833</f>
        <v>0</v>
      </c>
      <c r="N2833" s="35">
        <v>4607116265390</v>
      </c>
    </row>
    <row r="2834" spans="1:14" ht="24" customHeight="1" outlineLevel="3" x14ac:dyDescent="0.2">
      <c r="A2834" s="45">
        <v>14861</v>
      </c>
      <c r="B2834" s="37" t="str">
        <f>HYPERLINK("http://sedek.ru/upload/iblock/ece/nemeziya_oranzhevaya_printsessa.jpg","фото")</f>
        <v>фото</v>
      </c>
      <c r="C2834" s="38"/>
      <c r="D2834" s="38"/>
      <c r="E2834" s="39"/>
      <c r="F2834" s="39" t="s">
        <v>3439</v>
      </c>
      <c r="G2834" s="54">
        <v>0.05</v>
      </c>
      <c r="H2834" s="39" t="s">
        <v>101</v>
      </c>
      <c r="I2834" s="39" t="s">
        <v>102</v>
      </c>
      <c r="J2834" s="41">
        <v>3500</v>
      </c>
      <c r="K2834" s="42">
        <v>24.9</v>
      </c>
      <c r="L2834" s="43"/>
      <c r="M2834" s="43">
        <f>L2834*K2834</f>
        <v>0</v>
      </c>
      <c r="N2834" s="35">
        <v>4607116265406</v>
      </c>
    </row>
    <row r="2835" spans="1:14" ht="36" customHeight="1" outlineLevel="3" x14ac:dyDescent="0.2">
      <c r="A2835" s="45">
        <v>14561</v>
      </c>
      <c r="B2835" s="37" t="str">
        <f>HYPERLINK("http://sedek.ru/upload/iblock/257/nemofila_malvina_smes.jpg","фото")</f>
        <v>фото</v>
      </c>
      <c r="C2835" s="38"/>
      <c r="D2835" s="38"/>
      <c r="E2835" s="39"/>
      <c r="F2835" s="39" t="s">
        <v>3440</v>
      </c>
      <c r="G2835" s="54">
        <v>0.05</v>
      </c>
      <c r="H2835" s="39" t="s">
        <v>101</v>
      </c>
      <c r="I2835" s="39" t="s">
        <v>102</v>
      </c>
      <c r="J2835" s="41">
        <v>3000</v>
      </c>
      <c r="K2835" s="42">
        <v>21.4</v>
      </c>
      <c r="L2835" s="43"/>
      <c r="M2835" s="43">
        <f>L2835*K2835</f>
        <v>0</v>
      </c>
      <c r="N2835" s="35">
        <v>4607116265413</v>
      </c>
    </row>
    <row r="2836" spans="1:14" ht="24" customHeight="1" outlineLevel="3" x14ac:dyDescent="0.2">
      <c r="A2836" s="45">
        <v>14127</v>
      </c>
      <c r="B2836" s="37" t="str">
        <f>HYPERLINK("http://sedek.ru/upload/iblock/224/nepeta_kotovnik_orion.jpg","фото")</f>
        <v>фото</v>
      </c>
      <c r="C2836" s="38"/>
      <c r="D2836" s="38"/>
      <c r="E2836" s="39"/>
      <c r="F2836" s="39" t="s">
        <v>3441</v>
      </c>
      <c r="G2836" s="44">
        <v>0.1</v>
      </c>
      <c r="H2836" s="39" t="s">
        <v>101</v>
      </c>
      <c r="I2836" s="39" t="s">
        <v>102</v>
      </c>
      <c r="J2836" s="41">
        <v>3000</v>
      </c>
      <c r="K2836" s="42">
        <v>24.9</v>
      </c>
      <c r="L2836" s="43"/>
      <c r="M2836" s="43">
        <f>L2836*K2836</f>
        <v>0</v>
      </c>
      <c r="N2836" s="35">
        <v>4607116265420</v>
      </c>
    </row>
    <row r="2837" spans="1:14" ht="24" customHeight="1" outlineLevel="3" x14ac:dyDescent="0.2">
      <c r="A2837" s="45">
        <v>17048</v>
      </c>
      <c r="B2837" s="37" t="str">
        <f>HYPERLINK("http://sedek.ru/upload/iblock/3af/nivyanik_mey_kuin.jpg","фото")</f>
        <v>фото</v>
      </c>
      <c r="C2837" s="38"/>
      <c r="D2837" s="38"/>
      <c r="E2837" s="39"/>
      <c r="F2837" s="39" t="s">
        <v>3442</v>
      </c>
      <c r="G2837" s="44">
        <v>0.2</v>
      </c>
      <c r="H2837" s="39" t="s">
        <v>101</v>
      </c>
      <c r="I2837" s="39" t="s">
        <v>102</v>
      </c>
      <c r="J2837" s="41">
        <v>3000</v>
      </c>
      <c r="K2837" s="42">
        <v>21.4</v>
      </c>
      <c r="L2837" s="43"/>
      <c r="M2837" s="43">
        <f>L2837*K2837</f>
        <v>0</v>
      </c>
      <c r="N2837" s="35">
        <v>4607116266366</v>
      </c>
    </row>
    <row r="2838" spans="1:14" ht="24" customHeight="1" outlineLevel="3" x14ac:dyDescent="0.2">
      <c r="A2838" s="45">
        <v>13989</v>
      </c>
      <c r="B2838" s="37" t="str">
        <f>HYPERLINK("http://sedek.ru/upload/iblock/3b3/nivyanik_reyn_vyu.jpg","фото")</f>
        <v>фото</v>
      </c>
      <c r="C2838" s="38"/>
      <c r="D2838" s="38"/>
      <c r="E2838" s="39"/>
      <c r="F2838" s="39" t="s">
        <v>3443</v>
      </c>
      <c r="G2838" s="44">
        <v>0.1</v>
      </c>
      <c r="H2838" s="39" t="s">
        <v>101</v>
      </c>
      <c r="I2838" s="39" t="s">
        <v>102</v>
      </c>
      <c r="J2838" s="41">
        <v>3000</v>
      </c>
      <c r="K2838" s="42">
        <v>27.4</v>
      </c>
      <c r="L2838" s="43"/>
      <c r="M2838" s="43">
        <f>L2838*K2838</f>
        <v>0</v>
      </c>
      <c r="N2838" s="35">
        <v>4607116266373</v>
      </c>
    </row>
    <row r="2839" spans="1:14" ht="36" customHeight="1" outlineLevel="3" x14ac:dyDescent="0.2">
      <c r="A2839" s="45">
        <v>15722</v>
      </c>
      <c r="B2839" s="37" t="str">
        <f>HYPERLINK("http://sedek.ru/upload/iblock/a07/nivyanik_serebryannaya_printsessa.jpg","фото")</f>
        <v>фото</v>
      </c>
      <c r="C2839" s="38"/>
      <c r="D2839" s="38"/>
      <c r="E2839" s="39"/>
      <c r="F2839" s="39" t="s">
        <v>3444</v>
      </c>
      <c r="G2839" s="44">
        <v>0.2</v>
      </c>
      <c r="H2839" s="39" t="s">
        <v>101</v>
      </c>
      <c r="I2839" s="39" t="s">
        <v>102</v>
      </c>
      <c r="J2839" s="41">
        <v>3000</v>
      </c>
      <c r="K2839" s="42">
        <v>24.9</v>
      </c>
      <c r="L2839" s="43"/>
      <c r="M2839" s="43">
        <f>L2839*K2839</f>
        <v>0</v>
      </c>
      <c r="N2839" s="35">
        <v>4607116265437</v>
      </c>
    </row>
    <row r="2840" spans="1:14" ht="24" customHeight="1" outlineLevel="3" x14ac:dyDescent="0.2">
      <c r="A2840" s="45">
        <v>30976</v>
      </c>
      <c r="B2840" s="37" t="str">
        <f>HYPERLINK("http://www.sedek.ru/upload/iblock/86e/nivyanik_eldorado.jpg","фото")</f>
        <v>фото</v>
      </c>
      <c r="C2840" s="38"/>
      <c r="D2840" s="38"/>
      <c r="E2840" s="39"/>
      <c r="F2840" s="39" t="s">
        <v>3445</v>
      </c>
      <c r="G2840" s="44">
        <v>0.5</v>
      </c>
      <c r="H2840" s="39" t="s">
        <v>101</v>
      </c>
      <c r="I2840" s="39" t="s">
        <v>102</v>
      </c>
      <c r="J2840" s="41">
        <v>3000</v>
      </c>
      <c r="K2840" s="42">
        <v>24.9</v>
      </c>
      <c r="L2840" s="43"/>
      <c r="M2840" s="43">
        <f>L2840*K2840</f>
        <v>0</v>
      </c>
      <c r="N2840" s="35">
        <v>4607116266397</v>
      </c>
    </row>
    <row r="2841" spans="1:14" ht="24" customHeight="1" outlineLevel="3" x14ac:dyDescent="0.2">
      <c r="A2841" s="45">
        <v>15010</v>
      </c>
      <c r="B2841" s="37" t="str">
        <f>HYPERLINK("http://sedek.ru/upload/iblock/dca/nigella_zvezdnaya_rossyp.jpg","фото")</f>
        <v>фото</v>
      </c>
      <c r="C2841" s="38"/>
      <c r="D2841" s="38"/>
      <c r="E2841" s="39"/>
      <c r="F2841" s="39" t="s">
        <v>3446</v>
      </c>
      <c r="G2841" s="40">
        <v>1</v>
      </c>
      <c r="H2841" s="39" t="s">
        <v>101</v>
      </c>
      <c r="I2841" s="39" t="s">
        <v>102</v>
      </c>
      <c r="J2841" s="41">
        <v>3000</v>
      </c>
      <c r="K2841" s="42">
        <v>26.6</v>
      </c>
      <c r="L2841" s="43"/>
      <c r="M2841" s="43">
        <f>L2841*K2841</f>
        <v>0</v>
      </c>
      <c r="N2841" s="35">
        <v>4690368019019</v>
      </c>
    </row>
    <row r="2842" spans="1:14" ht="36" customHeight="1" outlineLevel="3" x14ac:dyDescent="0.2">
      <c r="A2842" s="45">
        <v>15291</v>
      </c>
      <c r="B2842" s="37" t="str">
        <f>HYPERLINK("http://sedek.ru/upload/iblock/7f3/nigella_persidskie_brillianty.jpg","фото")</f>
        <v>фото</v>
      </c>
      <c r="C2842" s="38"/>
      <c r="D2842" s="38"/>
      <c r="E2842" s="39"/>
      <c r="F2842" s="39" t="s">
        <v>3447</v>
      </c>
      <c r="G2842" s="44">
        <v>0.1</v>
      </c>
      <c r="H2842" s="39" t="s">
        <v>101</v>
      </c>
      <c r="I2842" s="39" t="s">
        <v>102</v>
      </c>
      <c r="J2842" s="41">
        <v>3000</v>
      </c>
      <c r="K2842" s="42">
        <v>21.4</v>
      </c>
      <c r="L2842" s="43"/>
      <c r="M2842" s="43">
        <f>L2842*K2842</f>
        <v>0</v>
      </c>
      <c r="N2842" s="35">
        <v>4607116265451</v>
      </c>
    </row>
    <row r="2843" spans="1:14" ht="24" customHeight="1" outlineLevel="3" x14ac:dyDescent="0.2">
      <c r="A2843" s="45">
        <v>14159</v>
      </c>
      <c r="B2843" s="37" t="str">
        <f>HYPERLINK("http://sedek.ru/upload/iblock/d90/nigella_svetlyachok.jpg","фото")</f>
        <v>фото</v>
      </c>
      <c r="C2843" s="38"/>
      <c r="D2843" s="38"/>
      <c r="E2843" s="39"/>
      <c r="F2843" s="39" t="s">
        <v>3448</v>
      </c>
      <c r="G2843" s="44">
        <v>0.5</v>
      </c>
      <c r="H2843" s="39" t="s">
        <v>101</v>
      </c>
      <c r="I2843" s="39" t="s">
        <v>102</v>
      </c>
      <c r="J2843" s="41">
        <v>3000</v>
      </c>
      <c r="K2843" s="42">
        <v>33.799999999999997</v>
      </c>
      <c r="L2843" s="43"/>
      <c r="M2843" s="43">
        <f>L2843*K2843</f>
        <v>0</v>
      </c>
      <c r="N2843" s="35">
        <v>4607116265468</v>
      </c>
    </row>
    <row r="2844" spans="1:14" ht="24" customHeight="1" outlineLevel="3" x14ac:dyDescent="0.2">
      <c r="A2844" s="45">
        <v>14829</v>
      </c>
      <c r="B2844" s="37" t="str">
        <f>HYPERLINK("http://sedek.ru/upload/iblock/11f/nigella_shakherizada.jpg","фото")</f>
        <v>фото</v>
      </c>
      <c r="C2844" s="38"/>
      <c r="D2844" s="38"/>
      <c r="E2844" s="39"/>
      <c r="F2844" s="39" t="s">
        <v>3449</v>
      </c>
      <c r="G2844" s="40">
        <v>1</v>
      </c>
      <c r="H2844" s="39" t="s">
        <v>101</v>
      </c>
      <c r="I2844" s="39" t="s">
        <v>102</v>
      </c>
      <c r="J2844" s="41">
        <v>3000</v>
      </c>
      <c r="K2844" s="42">
        <v>21.4</v>
      </c>
      <c r="L2844" s="43"/>
      <c r="M2844" s="43">
        <f>L2844*K2844</f>
        <v>0</v>
      </c>
      <c r="N2844" s="35">
        <v>4607116265475</v>
      </c>
    </row>
    <row r="2845" spans="1:14" ht="24" customHeight="1" outlineLevel="3" x14ac:dyDescent="0.2">
      <c r="A2845" s="45">
        <v>14559</v>
      </c>
      <c r="B2845" s="37" t="str">
        <f>HYPERLINK("http://sedek.ru/upload/iblock/e0c/nolana_briz.jpg","фото")</f>
        <v>фото</v>
      </c>
      <c r="C2845" s="38"/>
      <c r="D2845" s="38"/>
      <c r="E2845" s="39"/>
      <c r="F2845" s="39" t="s">
        <v>3450</v>
      </c>
      <c r="G2845" s="44">
        <v>0.2</v>
      </c>
      <c r="H2845" s="39" t="s">
        <v>101</v>
      </c>
      <c r="I2845" s="39" t="s">
        <v>102</v>
      </c>
      <c r="J2845" s="41">
        <v>3000</v>
      </c>
      <c r="K2845" s="42">
        <v>26.9</v>
      </c>
      <c r="L2845" s="43"/>
      <c r="M2845" s="43">
        <f>L2845*K2845</f>
        <v>0</v>
      </c>
      <c r="N2845" s="35">
        <v>4607116265482</v>
      </c>
    </row>
    <row r="2846" spans="1:14" ht="24" customHeight="1" outlineLevel="3" x14ac:dyDescent="0.2">
      <c r="A2846" s="45">
        <v>15013</v>
      </c>
      <c r="B2846" s="37" t="str">
        <f>HYPERLINK("http://sedek.ru/upload/iblock/98f/pelargoniya_arbat.jpg","фото")</f>
        <v>фото</v>
      </c>
      <c r="C2846" s="38"/>
      <c r="D2846" s="38"/>
      <c r="E2846" s="39"/>
      <c r="F2846" s="39" t="s">
        <v>3451</v>
      </c>
      <c r="G2846" s="40">
        <v>5</v>
      </c>
      <c r="H2846" s="39" t="s">
        <v>307</v>
      </c>
      <c r="I2846" s="39" t="s">
        <v>102</v>
      </c>
      <c r="J2846" s="41">
        <v>5000</v>
      </c>
      <c r="K2846" s="42">
        <v>123.9</v>
      </c>
      <c r="L2846" s="43"/>
      <c r="M2846" s="43">
        <f>L2846*K2846</f>
        <v>0</v>
      </c>
      <c r="N2846" s="35">
        <v>4690368019040</v>
      </c>
    </row>
    <row r="2847" spans="1:14" ht="24" customHeight="1" outlineLevel="3" x14ac:dyDescent="0.2">
      <c r="A2847" s="45">
        <v>14060</v>
      </c>
      <c r="B2847" s="37" t="str">
        <f>HYPERLINK("http://sedek.ru/upload/iblock/44e/pelargoniya_marseleza.jpg","фото")</f>
        <v>фото</v>
      </c>
      <c r="C2847" s="38"/>
      <c r="D2847" s="38"/>
      <c r="E2847" s="39"/>
      <c r="F2847" s="39" t="s">
        <v>3452</v>
      </c>
      <c r="G2847" s="40">
        <v>5</v>
      </c>
      <c r="H2847" s="39" t="s">
        <v>307</v>
      </c>
      <c r="I2847" s="39" t="s">
        <v>102</v>
      </c>
      <c r="J2847" s="41">
        <v>5000</v>
      </c>
      <c r="K2847" s="42">
        <v>170.4</v>
      </c>
      <c r="L2847" s="43"/>
      <c r="M2847" s="43">
        <f>L2847*K2847</f>
        <v>0</v>
      </c>
      <c r="N2847" s="35">
        <v>4607149408023</v>
      </c>
    </row>
    <row r="2848" spans="1:14" ht="36" customHeight="1" outlineLevel="3" x14ac:dyDescent="0.2">
      <c r="A2848" s="36" t="s">
        <v>3453</v>
      </c>
      <c r="B2848" s="37" t="str">
        <f>HYPERLINK("http://www.sedek.ru/upload/iblock/85a/petuniya_agnessa_gibridnaya.jpg","фото")</f>
        <v>фото</v>
      </c>
      <c r="C2848" s="38"/>
      <c r="D2848" s="38"/>
      <c r="E2848" s="39" t="s">
        <v>3454</v>
      </c>
      <c r="F2848" s="39" t="s">
        <v>3455</v>
      </c>
      <c r="G2848" s="40">
        <v>5</v>
      </c>
      <c r="H2848" s="39" t="s">
        <v>307</v>
      </c>
      <c r="I2848" s="39" t="s">
        <v>102</v>
      </c>
      <c r="J2848" s="41">
        <v>1500</v>
      </c>
      <c r="K2848" s="42">
        <v>125</v>
      </c>
      <c r="L2848" s="43"/>
      <c r="M2848" s="43">
        <f>L2848*K2848</f>
        <v>0</v>
      </c>
      <c r="N2848" s="35">
        <v>4690368036627</v>
      </c>
    </row>
    <row r="2849" spans="1:14" ht="24" customHeight="1" outlineLevel="3" x14ac:dyDescent="0.2">
      <c r="A2849" s="36" t="s">
        <v>3456</v>
      </c>
      <c r="B2849" s="37" t="str">
        <f>HYPERLINK("http://sedek.ru/upload/iblock/8a6/petuniya_aleksandra_f1.jpg","фото")</f>
        <v>фото</v>
      </c>
      <c r="C2849" s="38"/>
      <c r="D2849" s="38"/>
      <c r="E2849" s="39" t="s">
        <v>3457</v>
      </c>
      <c r="F2849" s="39" t="s">
        <v>3458</v>
      </c>
      <c r="G2849" s="40">
        <v>5</v>
      </c>
      <c r="H2849" s="39" t="s">
        <v>307</v>
      </c>
      <c r="I2849" s="39" t="s">
        <v>102</v>
      </c>
      <c r="J2849" s="41">
        <v>1500</v>
      </c>
      <c r="K2849" s="42">
        <v>125</v>
      </c>
      <c r="L2849" s="43"/>
      <c r="M2849" s="43">
        <f>L2849*K2849</f>
        <v>0</v>
      </c>
      <c r="N2849" s="35">
        <v>4690368037594</v>
      </c>
    </row>
    <row r="2850" spans="1:14" ht="36" customHeight="1" outlineLevel="3" x14ac:dyDescent="0.2">
      <c r="A2850" s="36" t="s">
        <v>3459</v>
      </c>
      <c r="B2850" s="37" t="str">
        <f>HYPERLINK("http://www.sedek.ru/upload/iblock/efb/petuniya_allegra_gibridnaya.jpg","фото")</f>
        <v>фото</v>
      </c>
      <c r="C2850" s="38"/>
      <c r="D2850" s="38"/>
      <c r="E2850" s="39" t="s">
        <v>3460</v>
      </c>
      <c r="F2850" s="39" t="s">
        <v>3461</v>
      </c>
      <c r="G2850" s="40">
        <v>5</v>
      </c>
      <c r="H2850" s="39" t="s">
        <v>307</v>
      </c>
      <c r="I2850" s="39" t="s">
        <v>102</v>
      </c>
      <c r="J2850" s="41">
        <v>1500</v>
      </c>
      <c r="K2850" s="42">
        <v>125</v>
      </c>
      <c r="L2850" s="43"/>
      <c r="M2850" s="43">
        <f>L2850*K2850</f>
        <v>0</v>
      </c>
      <c r="N2850" s="35">
        <v>4690368036689</v>
      </c>
    </row>
    <row r="2851" spans="1:14" ht="24" customHeight="1" outlineLevel="3" x14ac:dyDescent="0.2">
      <c r="A2851" s="36" t="s">
        <v>3462</v>
      </c>
      <c r="B2851" s="37" t="str">
        <f>HYPERLINK("http://www.sedek.ru/upload/iblock/613/petuniya_anastasiya_f1.jpg","фото")</f>
        <v>фото</v>
      </c>
      <c r="C2851" s="38"/>
      <c r="D2851" s="38"/>
      <c r="E2851" s="39" t="s">
        <v>3457</v>
      </c>
      <c r="F2851" s="39" t="s">
        <v>3463</v>
      </c>
      <c r="G2851" s="40">
        <v>5</v>
      </c>
      <c r="H2851" s="39" t="s">
        <v>307</v>
      </c>
      <c r="I2851" s="39" t="s">
        <v>102</v>
      </c>
      <c r="J2851" s="41">
        <v>1500</v>
      </c>
      <c r="K2851" s="42">
        <v>119.8</v>
      </c>
      <c r="L2851" s="43"/>
      <c r="M2851" s="43">
        <f>L2851*K2851</f>
        <v>0</v>
      </c>
      <c r="N2851" s="35">
        <v>4690368037662</v>
      </c>
    </row>
    <row r="2852" spans="1:14" ht="36" customHeight="1" outlineLevel="3" x14ac:dyDescent="0.2">
      <c r="A2852" s="36" t="s">
        <v>3464</v>
      </c>
      <c r="B2852" s="37" t="str">
        <f>HYPERLINK("http://www.sedek.ru/upload/iblock/cbd/petuniya_anna_german_gibridnaya.jpg","фото")</f>
        <v>фото</v>
      </c>
      <c r="C2852" s="38"/>
      <c r="D2852" s="38"/>
      <c r="E2852" s="39" t="s">
        <v>3465</v>
      </c>
      <c r="F2852" s="39" t="s">
        <v>3466</v>
      </c>
      <c r="G2852" s="40">
        <v>5</v>
      </c>
      <c r="H2852" s="39"/>
      <c r="I2852" s="39" t="s">
        <v>102</v>
      </c>
      <c r="J2852" s="41">
        <v>1500</v>
      </c>
      <c r="K2852" s="42">
        <v>64.7</v>
      </c>
      <c r="L2852" s="43"/>
      <c r="M2852" s="43">
        <f>L2852*K2852</f>
        <v>0</v>
      </c>
      <c r="N2852" s="35">
        <v>4690368036597</v>
      </c>
    </row>
    <row r="2853" spans="1:14" ht="24" customHeight="1" outlineLevel="3" x14ac:dyDescent="0.2">
      <c r="A2853" s="36" t="s">
        <v>3467</v>
      </c>
      <c r="B2853" s="37" t="str">
        <f>HYPERLINK("http://www.sedek.ru/upload/iblock/c95/petuniya_bayaderka_gibridnaya.jpg","фото")</f>
        <v>фото</v>
      </c>
      <c r="C2853" s="38"/>
      <c r="D2853" s="38"/>
      <c r="E2853" s="39"/>
      <c r="F2853" s="39" t="s">
        <v>3468</v>
      </c>
      <c r="G2853" s="40">
        <v>5</v>
      </c>
      <c r="H2853" s="39" t="s">
        <v>307</v>
      </c>
      <c r="I2853" s="39" t="s">
        <v>102</v>
      </c>
      <c r="J2853" s="41">
        <v>1500</v>
      </c>
      <c r="K2853" s="42">
        <v>125</v>
      </c>
      <c r="L2853" s="43"/>
      <c r="M2853" s="43">
        <f>L2853*K2853</f>
        <v>0</v>
      </c>
      <c r="N2853" s="35">
        <v>4690368036702</v>
      </c>
    </row>
    <row r="2854" spans="1:14" ht="36" customHeight="1" outlineLevel="3" x14ac:dyDescent="0.2">
      <c r="A2854" s="36" t="s">
        <v>3469</v>
      </c>
      <c r="B2854" s="37" t="str">
        <f>HYPERLINK("http://www.sedek.ru/upload/iblock/085/petuniya_beatris_gibridnaya.jpg","фото")</f>
        <v>фото</v>
      </c>
      <c r="C2854" s="38"/>
      <c r="D2854" s="38"/>
      <c r="E2854" s="39"/>
      <c r="F2854" s="39" t="s">
        <v>3470</v>
      </c>
      <c r="G2854" s="40">
        <v>5</v>
      </c>
      <c r="H2854" s="39" t="s">
        <v>307</v>
      </c>
      <c r="I2854" s="39" t="s">
        <v>102</v>
      </c>
      <c r="J2854" s="41">
        <v>1500</v>
      </c>
      <c r="K2854" s="42">
        <v>125</v>
      </c>
      <c r="L2854" s="43"/>
      <c r="M2854" s="43">
        <f>L2854*K2854</f>
        <v>0</v>
      </c>
      <c r="N2854" s="35">
        <v>4690368036634</v>
      </c>
    </row>
    <row r="2855" spans="1:14" ht="24" customHeight="1" outlineLevel="3" x14ac:dyDescent="0.2">
      <c r="A2855" s="45">
        <v>15690</v>
      </c>
      <c r="B2855" s="37" t="str">
        <f>HYPERLINK("http://sedek.ru/upload/iblock/508/petuniya_belyy_shar.jpg","фото")</f>
        <v>фото</v>
      </c>
      <c r="C2855" s="38"/>
      <c r="D2855" s="38"/>
      <c r="E2855" s="39"/>
      <c r="F2855" s="39" t="s">
        <v>3471</v>
      </c>
      <c r="G2855" s="44">
        <v>0.1</v>
      </c>
      <c r="H2855" s="39" t="s">
        <v>101</v>
      </c>
      <c r="I2855" s="39" t="s">
        <v>102</v>
      </c>
      <c r="J2855" s="41">
        <v>1500</v>
      </c>
      <c r="K2855" s="42">
        <v>28.2</v>
      </c>
      <c r="L2855" s="43"/>
      <c r="M2855" s="43">
        <f>L2855*K2855</f>
        <v>0</v>
      </c>
      <c r="N2855" s="35">
        <v>4607116265581</v>
      </c>
    </row>
    <row r="2856" spans="1:14" ht="36" customHeight="1" outlineLevel="3" x14ac:dyDescent="0.2">
      <c r="A2856" s="36" t="s">
        <v>3472</v>
      </c>
      <c r="B2856" s="37" t="str">
        <f>HYPERLINK("http://www.sedek.ru/upload/iblock/457/petuniya_bozhena_gibridnaya.jpg","фото")</f>
        <v>фото</v>
      </c>
      <c r="C2856" s="38"/>
      <c r="D2856" s="38"/>
      <c r="E2856" s="39" t="s">
        <v>3465</v>
      </c>
      <c r="F2856" s="39" t="s">
        <v>3473</v>
      </c>
      <c r="G2856" s="40">
        <v>10</v>
      </c>
      <c r="H2856" s="39" t="s">
        <v>307</v>
      </c>
      <c r="I2856" s="39" t="s">
        <v>102</v>
      </c>
      <c r="J2856" s="41">
        <v>1500</v>
      </c>
      <c r="K2856" s="42">
        <v>55.7</v>
      </c>
      <c r="L2856" s="43"/>
      <c r="M2856" s="43">
        <f>L2856*K2856</f>
        <v>0</v>
      </c>
      <c r="N2856" s="35">
        <v>4690368036580</v>
      </c>
    </row>
    <row r="2857" spans="1:14" ht="36" customHeight="1" outlineLevel="3" x14ac:dyDescent="0.2">
      <c r="A2857" s="45">
        <v>15286</v>
      </c>
      <c r="B2857" s="37" t="str">
        <f>HYPERLINK("http://sedek.ru/upload/iblock/eee/petuniya_brigitte_f1_kompaktnaya.jpg","фото")</f>
        <v>фото</v>
      </c>
      <c r="C2857" s="38"/>
      <c r="D2857" s="38"/>
      <c r="E2857" s="39"/>
      <c r="F2857" s="39" t="s">
        <v>3474</v>
      </c>
      <c r="G2857" s="40">
        <v>10</v>
      </c>
      <c r="H2857" s="39" t="s">
        <v>307</v>
      </c>
      <c r="I2857" s="39" t="s">
        <v>102</v>
      </c>
      <c r="J2857" s="41">
        <v>1500</v>
      </c>
      <c r="K2857" s="42">
        <v>33.299999999999997</v>
      </c>
      <c r="L2857" s="43"/>
      <c r="M2857" s="43">
        <f>L2857*K2857</f>
        <v>0</v>
      </c>
      <c r="N2857" s="35">
        <v>4607116265611</v>
      </c>
    </row>
    <row r="2858" spans="1:14" ht="36" customHeight="1" outlineLevel="3" x14ac:dyDescent="0.2">
      <c r="A2858" s="36" t="s">
        <v>3475</v>
      </c>
      <c r="B2858" s="37" t="str">
        <f>HYPERLINK("http://www.sedek.ru/upload/iblock/e83/petuniya_valentina_f1.jpg","фото")</f>
        <v>фото</v>
      </c>
      <c r="C2858" s="38"/>
      <c r="D2858" s="38"/>
      <c r="E2858" s="39" t="s">
        <v>3457</v>
      </c>
      <c r="F2858" s="39" t="s">
        <v>3476</v>
      </c>
      <c r="G2858" s="40">
        <v>5</v>
      </c>
      <c r="H2858" s="39" t="s">
        <v>307</v>
      </c>
      <c r="I2858" s="39" t="s">
        <v>102</v>
      </c>
      <c r="J2858" s="41">
        <v>1500</v>
      </c>
      <c r="K2858" s="42">
        <v>125</v>
      </c>
      <c r="L2858" s="43"/>
      <c r="M2858" s="43">
        <f>L2858*K2858</f>
        <v>0</v>
      </c>
      <c r="N2858" s="35">
        <v>4690368037600</v>
      </c>
    </row>
    <row r="2859" spans="1:14" ht="36" customHeight="1" outlineLevel="3" x14ac:dyDescent="0.2">
      <c r="A2859" s="36" t="s">
        <v>3477</v>
      </c>
      <c r="B2859" s="37" t="str">
        <f>HYPERLINK("http://www.sedek.ru/upload/iblock/a2f/petuniya_vassa_gibridnaya.jpg","фото")</f>
        <v>фото</v>
      </c>
      <c r="C2859" s="38"/>
      <c r="D2859" s="38"/>
      <c r="E2859" s="39" t="s">
        <v>3478</v>
      </c>
      <c r="F2859" s="39" t="s">
        <v>3479</v>
      </c>
      <c r="G2859" s="40">
        <v>10</v>
      </c>
      <c r="H2859" s="39" t="s">
        <v>307</v>
      </c>
      <c r="I2859" s="39" t="s">
        <v>102</v>
      </c>
      <c r="J2859" s="41">
        <v>1500</v>
      </c>
      <c r="K2859" s="42">
        <v>40.200000000000003</v>
      </c>
      <c r="L2859" s="43"/>
      <c r="M2859" s="43">
        <f>L2859*K2859</f>
        <v>0</v>
      </c>
      <c r="N2859" s="35">
        <v>4690368036566</v>
      </c>
    </row>
    <row r="2860" spans="1:14" ht="36" customHeight="1" outlineLevel="3" x14ac:dyDescent="0.2">
      <c r="A2860" s="36" t="s">
        <v>3480</v>
      </c>
      <c r="B2860" s="37" t="str">
        <f>HYPERLINK("http://www.sedek.ru/upload/iblock/839/petuniya_venera_gibridnaya.jpg","фото")</f>
        <v>фото</v>
      </c>
      <c r="C2860" s="38"/>
      <c r="D2860" s="38"/>
      <c r="E2860" s="39" t="s">
        <v>3457</v>
      </c>
      <c r="F2860" s="39" t="s">
        <v>3481</v>
      </c>
      <c r="G2860" s="40">
        <v>5</v>
      </c>
      <c r="H2860" s="39" t="s">
        <v>307</v>
      </c>
      <c r="I2860" s="39" t="s">
        <v>102</v>
      </c>
      <c r="J2860" s="41">
        <v>1500</v>
      </c>
      <c r="K2860" s="42">
        <v>125</v>
      </c>
      <c r="L2860" s="43"/>
      <c r="M2860" s="43">
        <f>L2860*K2860</f>
        <v>0</v>
      </c>
      <c r="N2860" s="35">
        <v>4690368037631</v>
      </c>
    </row>
    <row r="2861" spans="1:14" ht="24" customHeight="1" outlineLevel="3" x14ac:dyDescent="0.2">
      <c r="A2861" s="36" t="s">
        <v>3482</v>
      </c>
      <c r="B2861" s="37" t="str">
        <f>HYPERLINK("http://www.sedek.ru/upload/iblock/36f/petuniya_violetta_f1.jpg","фото")</f>
        <v>фото</v>
      </c>
      <c r="C2861" s="38"/>
      <c r="D2861" s="38"/>
      <c r="E2861" s="39" t="s">
        <v>3457</v>
      </c>
      <c r="F2861" s="39" t="s">
        <v>3483</v>
      </c>
      <c r="G2861" s="40">
        <v>5</v>
      </c>
      <c r="H2861" s="39" t="s">
        <v>307</v>
      </c>
      <c r="I2861" s="39" t="s">
        <v>102</v>
      </c>
      <c r="J2861" s="41">
        <v>1500</v>
      </c>
      <c r="K2861" s="42">
        <v>125</v>
      </c>
      <c r="L2861" s="43"/>
      <c r="M2861" s="43">
        <f>L2861*K2861</f>
        <v>0</v>
      </c>
      <c r="N2861" s="35">
        <v>4690368037587</v>
      </c>
    </row>
    <row r="2862" spans="1:14" ht="24" customHeight="1" outlineLevel="3" x14ac:dyDescent="0.2">
      <c r="A2862" s="45">
        <v>15268</v>
      </c>
      <c r="B2862" s="37" t="str">
        <f>HYPERLINK("http://sedek.ru/upload/iblock/4d8/petuniya_volshebnitsa_kaskadnaya_smes.jpg","фото")</f>
        <v>фото</v>
      </c>
      <c r="C2862" s="38"/>
      <c r="D2862" s="38"/>
      <c r="E2862" s="39"/>
      <c r="F2862" s="39" t="s">
        <v>3484</v>
      </c>
      <c r="G2862" s="54">
        <v>0.01</v>
      </c>
      <c r="H2862" s="39" t="s">
        <v>307</v>
      </c>
      <c r="I2862" s="39" t="s">
        <v>102</v>
      </c>
      <c r="J2862" s="41">
        <v>1500</v>
      </c>
      <c r="K2862" s="42">
        <v>114.6</v>
      </c>
      <c r="L2862" s="43"/>
      <c r="M2862" s="43">
        <f>L2862*K2862</f>
        <v>0</v>
      </c>
      <c r="N2862" s="35">
        <v>4607116265628</v>
      </c>
    </row>
    <row r="2863" spans="1:14" ht="36" customHeight="1" outlineLevel="3" x14ac:dyDescent="0.2">
      <c r="A2863" s="36" t="s">
        <v>3485</v>
      </c>
      <c r="B2863" s="37" t="str">
        <f>HYPERLINK("http://www.sedek.ru/upload/iblock/455/petuniya_gabriela_gibridnaya_.jpg","фото")</f>
        <v>фото</v>
      </c>
      <c r="C2863" s="38"/>
      <c r="D2863" s="38"/>
      <c r="E2863" s="39" t="s">
        <v>3486</v>
      </c>
      <c r="F2863" s="39" t="s">
        <v>3487</v>
      </c>
      <c r="G2863" s="40">
        <v>5</v>
      </c>
      <c r="H2863" s="39" t="s">
        <v>101</v>
      </c>
      <c r="I2863" s="39" t="s">
        <v>102</v>
      </c>
      <c r="J2863" s="41">
        <v>1500</v>
      </c>
      <c r="K2863" s="42">
        <v>125</v>
      </c>
      <c r="L2863" s="43"/>
      <c r="M2863" s="43">
        <f>L2863*K2863</f>
        <v>0</v>
      </c>
      <c r="N2863" s="35">
        <v>4690368036658</v>
      </c>
    </row>
    <row r="2864" spans="1:14" ht="36" customHeight="1" outlineLevel="3" x14ac:dyDescent="0.2">
      <c r="A2864" s="36" t="s">
        <v>3488</v>
      </c>
      <c r="B2864" s="37" t="str">
        <f>HYPERLINK("http://www.sedek.ru/upload/iblock/64c/petuniya_gertruda_gibridnaya_.jpg","фото")</f>
        <v>фото</v>
      </c>
      <c r="C2864" s="38"/>
      <c r="D2864" s="38"/>
      <c r="E2864" s="39" t="s">
        <v>3489</v>
      </c>
      <c r="F2864" s="39" t="s">
        <v>3490</v>
      </c>
      <c r="G2864" s="40">
        <v>5</v>
      </c>
      <c r="H2864" s="39"/>
      <c r="I2864" s="39" t="s">
        <v>102</v>
      </c>
      <c r="J2864" s="41">
        <v>1500</v>
      </c>
      <c r="K2864" s="42">
        <v>55.7</v>
      </c>
      <c r="L2864" s="43"/>
      <c r="M2864" s="43">
        <f>L2864*K2864</f>
        <v>0</v>
      </c>
      <c r="N2864" s="33" t="s">
        <v>1799</v>
      </c>
    </row>
    <row r="2865" spans="1:14" ht="36" customHeight="1" outlineLevel="3" x14ac:dyDescent="0.2">
      <c r="A2865" s="36" t="s">
        <v>3491</v>
      </c>
      <c r="B2865" s="37" t="str">
        <f>HYPERLINK("http://www.sedek.ru/upload/iblock/3ac/petuniya_divchina_f1.jpg","фото")</f>
        <v>фото</v>
      </c>
      <c r="C2865" s="38"/>
      <c r="D2865" s="38"/>
      <c r="E2865" s="39" t="s">
        <v>3492</v>
      </c>
      <c r="F2865" s="39" t="s">
        <v>3493</v>
      </c>
      <c r="G2865" s="40">
        <v>5</v>
      </c>
      <c r="H2865" s="39" t="s">
        <v>307</v>
      </c>
      <c r="I2865" s="39" t="s">
        <v>102</v>
      </c>
      <c r="J2865" s="41">
        <v>1500</v>
      </c>
      <c r="K2865" s="42">
        <v>125</v>
      </c>
      <c r="L2865" s="43"/>
      <c r="M2865" s="43">
        <f>L2865*K2865</f>
        <v>0</v>
      </c>
      <c r="N2865" s="35">
        <v>4690368037549</v>
      </c>
    </row>
    <row r="2866" spans="1:14" ht="36" customHeight="1" outlineLevel="3" x14ac:dyDescent="0.2">
      <c r="A2866" s="36" t="s">
        <v>3494</v>
      </c>
      <c r="B2866" s="37" t="str">
        <f>HYPERLINK("http://www.sedek.ru/upload/iblock/1ce/petuniya_dochenka_gibridnaya.jpg","фото")</f>
        <v>фото</v>
      </c>
      <c r="C2866" s="38"/>
      <c r="D2866" s="38"/>
      <c r="E2866" s="39" t="s">
        <v>3495</v>
      </c>
      <c r="F2866" s="39" t="s">
        <v>3496</v>
      </c>
      <c r="G2866" s="40">
        <v>10</v>
      </c>
      <c r="H2866" s="39" t="s">
        <v>307</v>
      </c>
      <c r="I2866" s="39" t="s">
        <v>102</v>
      </c>
      <c r="J2866" s="41">
        <v>1500</v>
      </c>
      <c r="K2866" s="42">
        <v>51.6</v>
      </c>
      <c r="L2866" s="43"/>
      <c r="M2866" s="43">
        <f>L2866*K2866</f>
        <v>0</v>
      </c>
      <c r="N2866" s="35">
        <v>4690368036504</v>
      </c>
    </row>
    <row r="2867" spans="1:14" ht="24" customHeight="1" outlineLevel="3" x14ac:dyDescent="0.2">
      <c r="A2867" s="36" t="s">
        <v>3497</v>
      </c>
      <c r="B2867" s="37" t="str">
        <f>HYPERLINK("http://www.sedek.ru/upload/iblock/c83/petuniya_eva_gibridnaya.jpg","фото")</f>
        <v>фото</v>
      </c>
      <c r="C2867" s="38"/>
      <c r="D2867" s="38"/>
      <c r="E2867" s="39" t="s">
        <v>3498</v>
      </c>
      <c r="F2867" s="39" t="s">
        <v>3499</v>
      </c>
      <c r="G2867" s="40">
        <v>5</v>
      </c>
      <c r="H2867" s="39" t="s">
        <v>307</v>
      </c>
      <c r="I2867" s="39" t="s">
        <v>102</v>
      </c>
      <c r="J2867" s="41">
        <v>1500</v>
      </c>
      <c r="K2867" s="42">
        <v>125</v>
      </c>
      <c r="L2867" s="43"/>
      <c r="M2867" s="43">
        <f>L2867*K2867</f>
        <v>0</v>
      </c>
      <c r="N2867" s="35">
        <v>4690368036696</v>
      </c>
    </row>
    <row r="2868" spans="1:14" ht="36" customHeight="1" outlineLevel="3" x14ac:dyDescent="0.2">
      <c r="A2868" s="36" t="s">
        <v>3500</v>
      </c>
      <c r="B2868" s="37" t="str">
        <f>HYPERLINK("http://www.sedek.ru/upload/iblock/c50/petuniya_egoza_gibridnaya.jpg","фото")</f>
        <v>фото</v>
      </c>
      <c r="C2868" s="38"/>
      <c r="D2868" s="38"/>
      <c r="E2868" s="39" t="s">
        <v>3501</v>
      </c>
      <c r="F2868" s="39" t="s">
        <v>3502</v>
      </c>
      <c r="G2868" s="40">
        <v>5</v>
      </c>
      <c r="H2868" s="39" t="s">
        <v>307</v>
      </c>
      <c r="I2868" s="39" t="s">
        <v>102</v>
      </c>
      <c r="J2868" s="41">
        <v>1500</v>
      </c>
      <c r="K2868" s="42">
        <v>125</v>
      </c>
      <c r="L2868" s="43"/>
      <c r="M2868" s="43">
        <f>L2868*K2868</f>
        <v>0</v>
      </c>
      <c r="N2868" s="35">
        <v>4690368036672</v>
      </c>
    </row>
    <row r="2869" spans="1:14" ht="36" customHeight="1" outlineLevel="3" x14ac:dyDescent="0.2">
      <c r="A2869" s="45">
        <v>15650</v>
      </c>
      <c r="B2869" s="37" t="str">
        <f>HYPERLINK("http://sedek.ru/upload/iblock/349/petuniya_ekaterina_f1_ampelnaya.jpg","фото")</f>
        <v>фото</v>
      </c>
      <c r="C2869" s="38"/>
      <c r="D2869" s="38"/>
      <c r="E2869" s="39"/>
      <c r="F2869" s="39" t="s">
        <v>3503</v>
      </c>
      <c r="G2869" s="40">
        <v>5</v>
      </c>
      <c r="H2869" s="39" t="s">
        <v>307</v>
      </c>
      <c r="I2869" s="39" t="s">
        <v>102</v>
      </c>
      <c r="J2869" s="41">
        <v>1500</v>
      </c>
      <c r="K2869" s="42">
        <v>125</v>
      </c>
      <c r="L2869" s="43"/>
      <c r="M2869" s="43">
        <f>L2869*K2869</f>
        <v>0</v>
      </c>
      <c r="N2869" s="35">
        <v>4690368015738</v>
      </c>
    </row>
    <row r="2870" spans="1:14" ht="24" customHeight="1" outlineLevel="3" x14ac:dyDescent="0.2">
      <c r="A2870" s="45">
        <v>15651</v>
      </c>
      <c r="B2870" s="37" t="str">
        <f>HYPERLINK("http://sedek.ru/upload/iblock/066/petuniya_zhemchuzhina_gibridnaya_ampelnaya.jpg","фото")</f>
        <v>фото</v>
      </c>
      <c r="C2870" s="38"/>
      <c r="D2870" s="38"/>
      <c r="E2870" s="39"/>
      <c r="F2870" s="39" t="s">
        <v>3504</v>
      </c>
      <c r="G2870" s="40">
        <v>5</v>
      </c>
      <c r="H2870" s="39" t="s">
        <v>307</v>
      </c>
      <c r="I2870" s="39" t="s">
        <v>102</v>
      </c>
      <c r="J2870" s="41">
        <v>1500</v>
      </c>
      <c r="K2870" s="42">
        <v>248.5</v>
      </c>
      <c r="L2870" s="43"/>
      <c r="M2870" s="43">
        <f>L2870*K2870</f>
        <v>0</v>
      </c>
      <c r="N2870" s="35">
        <v>4690368015745</v>
      </c>
    </row>
    <row r="2871" spans="1:14" ht="36" customHeight="1" outlineLevel="3" x14ac:dyDescent="0.2">
      <c r="A2871" s="36" t="s">
        <v>3505</v>
      </c>
      <c r="B2871" s="37" t="str">
        <f>HYPERLINK("http://www.sedek.ru/upload/iblock/29f/petuniya_indianka_gibridnaya.jpg","фото")</f>
        <v>фото</v>
      </c>
      <c r="C2871" s="38"/>
      <c r="D2871" s="38"/>
      <c r="E2871" s="39" t="s">
        <v>3501</v>
      </c>
      <c r="F2871" s="39" t="s">
        <v>3506</v>
      </c>
      <c r="G2871" s="40">
        <v>5</v>
      </c>
      <c r="H2871" s="39" t="s">
        <v>307</v>
      </c>
      <c r="I2871" s="39" t="s">
        <v>102</v>
      </c>
      <c r="J2871" s="41">
        <v>1500</v>
      </c>
      <c r="K2871" s="42">
        <v>125</v>
      </c>
      <c r="L2871" s="43"/>
      <c r="M2871" s="43">
        <f>L2871*K2871</f>
        <v>0</v>
      </c>
      <c r="N2871" s="35">
        <v>4690368036665</v>
      </c>
    </row>
    <row r="2872" spans="1:14" ht="24" customHeight="1" outlineLevel="3" x14ac:dyDescent="0.2">
      <c r="A2872" s="45">
        <v>14734</v>
      </c>
      <c r="B2872" s="37" t="str">
        <f>HYPERLINK("http://sedek.ru/upload/iblock/0b7/petuniya_kadril.jpg","фото")</f>
        <v>фото</v>
      </c>
      <c r="C2872" s="38"/>
      <c r="D2872" s="38"/>
      <c r="E2872" s="39"/>
      <c r="F2872" s="39" t="s">
        <v>3507</v>
      </c>
      <c r="G2872" s="44">
        <v>0.1</v>
      </c>
      <c r="H2872" s="39" t="s">
        <v>101</v>
      </c>
      <c r="I2872" s="39" t="s">
        <v>102</v>
      </c>
      <c r="J2872" s="41">
        <v>1500</v>
      </c>
      <c r="K2872" s="42">
        <v>21.4</v>
      </c>
      <c r="L2872" s="43"/>
      <c r="M2872" s="43">
        <f>L2872*K2872</f>
        <v>0</v>
      </c>
      <c r="N2872" s="33" t="s">
        <v>1799</v>
      </c>
    </row>
    <row r="2873" spans="1:14" ht="24" customHeight="1" outlineLevel="3" x14ac:dyDescent="0.2">
      <c r="A2873" s="36" t="s">
        <v>3508</v>
      </c>
      <c r="B2873" s="37" t="str">
        <f>HYPERLINK("http://www.sedek.ru/upload/iblock/136/petuniya_kapella_gibridnaya.jpg","фото")</f>
        <v>фото</v>
      </c>
      <c r="C2873" s="38"/>
      <c r="D2873" s="38"/>
      <c r="E2873" s="39" t="s">
        <v>3509</v>
      </c>
      <c r="F2873" s="39" t="s">
        <v>3510</v>
      </c>
      <c r="G2873" s="40">
        <v>10</v>
      </c>
      <c r="H2873" s="39" t="s">
        <v>307</v>
      </c>
      <c r="I2873" s="39" t="s">
        <v>102</v>
      </c>
      <c r="J2873" s="41">
        <v>1500</v>
      </c>
      <c r="K2873" s="42">
        <v>55.7</v>
      </c>
      <c r="L2873" s="43"/>
      <c r="M2873" s="43">
        <f>L2873*K2873</f>
        <v>0</v>
      </c>
      <c r="N2873" s="35">
        <v>4690368036535</v>
      </c>
    </row>
    <row r="2874" spans="1:14" ht="36" customHeight="1" outlineLevel="3" x14ac:dyDescent="0.2">
      <c r="A2874" s="36" t="s">
        <v>3511</v>
      </c>
      <c r="B2874" s="37" t="str">
        <f>HYPERLINK("http://www.sedek.ru/upload/iblock/df0/petuniya_karolina_gibridnaya.jpg","фото")</f>
        <v>фото</v>
      </c>
      <c r="C2874" s="38" t="s">
        <v>266</v>
      </c>
      <c r="D2874" s="38"/>
      <c r="E2874" s="39" t="s">
        <v>3478</v>
      </c>
      <c r="F2874" s="39" t="s">
        <v>3512</v>
      </c>
      <c r="G2874" s="40">
        <v>10</v>
      </c>
      <c r="H2874" s="39" t="s">
        <v>307</v>
      </c>
      <c r="I2874" s="39" t="s">
        <v>102</v>
      </c>
      <c r="J2874" s="41">
        <v>1500</v>
      </c>
      <c r="K2874" s="42">
        <v>40.200000000000003</v>
      </c>
      <c r="L2874" s="43"/>
      <c r="M2874" s="43">
        <f>L2874*K2874</f>
        <v>0</v>
      </c>
      <c r="N2874" s="35">
        <v>4690368036573</v>
      </c>
    </row>
    <row r="2875" spans="1:14" ht="24" customHeight="1" outlineLevel="3" x14ac:dyDescent="0.2">
      <c r="A2875" s="36" t="s">
        <v>3513</v>
      </c>
      <c r="B2875" s="37" t="str">
        <f>HYPERLINK("http://www.sedek.ru/upload/iblock/72f/petuniya_kira_f1.jpg","фото")</f>
        <v>фото</v>
      </c>
      <c r="C2875" s="38"/>
      <c r="D2875" s="38"/>
      <c r="E2875" s="39" t="s">
        <v>3492</v>
      </c>
      <c r="F2875" s="39" t="s">
        <v>3514</v>
      </c>
      <c r="G2875" s="40">
        <v>5</v>
      </c>
      <c r="H2875" s="39" t="s">
        <v>307</v>
      </c>
      <c r="I2875" s="39" t="s">
        <v>102</v>
      </c>
      <c r="J2875" s="41">
        <v>1500</v>
      </c>
      <c r="K2875" s="42">
        <v>125</v>
      </c>
      <c r="L2875" s="43"/>
      <c r="M2875" s="43">
        <f>L2875*K2875</f>
        <v>0</v>
      </c>
      <c r="N2875" s="35">
        <v>4690368037501</v>
      </c>
    </row>
    <row r="2876" spans="1:14" ht="24" customHeight="1" outlineLevel="3" x14ac:dyDescent="0.2">
      <c r="A2876" s="36" t="s">
        <v>3515</v>
      </c>
      <c r="B2876" s="37" t="str">
        <f>HYPERLINK("http://sedek.ru/upload/iblock/4c5/petuniya_krasnyy_barkhat_f1.jpg","фото")</f>
        <v>фото</v>
      </c>
      <c r="C2876" s="38"/>
      <c r="D2876" s="38"/>
      <c r="E2876" s="39" t="s">
        <v>3501</v>
      </c>
      <c r="F2876" s="39" t="s">
        <v>3516</v>
      </c>
      <c r="G2876" s="40">
        <v>5</v>
      </c>
      <c r="H2876" s="39" t="s">
        <v>307</v>
      </c>
      <c r="I2876" s="39" t="s">
        <v>102</v>
      </c>
      <c r="J2876" s="41">
        <v>1500</v>
      </c>
      <c r="K2876" s="42">
        <v>125</v>
      </c>
      <c r="L2876" s="43"/>
      <c r="M2876" s="43">
        <f>L2876*K2876</f>
        <v>0</v>
      </c>
      <c r="N2876" s="35">
        <v>4690368037457</v>
      </c>
    </row>
    <row r="2877" spans="1:14" ht="24" customHeight="1" outlineLevel="3" x14ac:dyDescent="0.2">
      <c r="A2877" s="45">
        <v>14768</v>
      </c>
      <c r="B2877" s="37" t="str">
        <f>HYPERLINK("http://sedek.ru/upload/iblock/0ff/petuniya_laguna_f1.jpg","фото")</f>
        <v>фото</v>
      </c>
      <c r="C2877" s="38"/>
      <c r="D2877" s="38"/>
      <c r="E2877" s="39"/>
      <c r="F2877" s="39" t="s">
        <v>3517</v>
      </c>
      <c r="G2877" s="44">
        <v>0.1</v>
      </c>
      <c r="H2877" s="39" t="s">
        <v>101</v>
      </c>
      <c r="I2877" s="39" t="s">
        <v>102</v>
      </c>
      <c r="J2877" s="41">
        <v>1500</v>
      </c>
      <c r="K2877" s="42">
        <v>132.4</v>
      </c>
      <c r="L2877" s="43"/>
      <c r="M2877" s="43">
        <f>L2877*K2877</f>
        <v>0</v>
      </c>
      <c r="N2877" s="35">
        <v>4607149408030</v>
      </c>
    </row>
    <row r="2878" spans="1:14" ht="24" customHeight="1" outlineLevel="3" x14ac:dyDescent="0.2">
      <c r="A2878" s="36" t="s">
        <v>3518</v>
      </c>
      <c r="B2878" s="37" t="str">
        <f>HYPERLINK("http://www.sedek.ru/upload/iblock/4ad/petuniya_loretta_f1.jpg","фото")</f>
        <v>фото</v>
      </c>
      <c r="C2878" s="38"/>
      <c r="D2878" s="38"/>
      <c r="E2878" s="39" t="s">
        <v>3501</v>
      </c>
      <c r="F2878" s="39" t="s">
        <v>3519</v>
      </c>
      <c r="G2878" s="40">
        <v>5</v>
      </c>
      <c r="H2878" s="39" t="s">
        <v>307</v>
      </c>
      <c r="I2878" s="39" t="s">
        <v>102</v>
      </c>
      <c r="J2878" s="41">
        <v>1500</v>
      </c>
      <c r="K2878" s="42">
        <v>125</v>
      </c>
      <c r="L2878" s="43"/>
      <c r="M2878" s="43">
        <f>L2878*K2878</f>
        <v>0</v>
      </c>
      <c r="N2878" s="35">
        <v>4690368037488</v>
      </c>
    </row>
    <row r="2879" spans="1:14" ht="36" customHeight="1" outlineLevel="3" x14ac:dyDescent="0.2">
      <c r="A2879" s="45">
        <v>13745</v>
      </c>
      <c r="B2879" s="37" t="str">
        <f>HYPERLINK("http://sedek.ru/upload/iblock/33a/petuniya_luiza_prevoskhodneyshaya.jpg","фото")</f>
        <v>фото</v>
      </c>
      <c r="C2879" s="38"/>
      <c r="D2879" s="38"/>
      <c r="E2879" s="39"/>
      <c r="F2879" s="39" t="s">
        <v>3520</v>
      </c>
      <c r="G2879" s="40">
        <v>10</v>
      </c>
      <c r="H2879" s="39" t="s">
        <v>307</v>
      </c>
      <c r="I2879" s="39" t="s">
        <v>102</v>
      </c>
      <c r="J2879" s="41">
        <v>1500</v>
      </c>
      <c r="K2879" s="42">
        <v>48.4</v>
      </c>
      <c r="L2879" s="43"/>
      <c r="M2879" s="43">
        <f>L2879*K2879</f>
        <v>0</v>
      </c>
      <c r="N2879" s="35">
        <v>4607116269909</v>
      </c>
    </row>
    <row r="2880" spans="1:14" ht="24" customHeight="1" outlineLevel="3" x14ac:dyDescent="0.2">
      <c r="A2880" s="36" t="s">
        <v>3521</v>
      </c>
      <c r="B2880" s="37" t="str">
        <f>HYPERLINK("http://www.sedek.ru/upload/iblock/8b0/petuniya_magdalena_gibridnaya.jpg","фото")</f>
        <v>фото</v>
      </c>
      <c r="C2880" s="38"/>
      <c r="D2880" s="38"/>
      <c r="E2880" s="39" t="s">
        <v>3454</v>
      </c>
      <c r="F2880" s="39" t="s">
        <v>3522</v>
      </c>
      <c r="G2880" s="40">
        <v>5</v>
      </c>
      <c r="H2880" s="39" t="s">
        <v>307</v>
      </c>
      <c r="I2880" s="39" t="s">
        <v>102</v>
      </c>
      <c r="J2880" s="41">
        <v>1500</v>
      </c>
      <c r="K2880" s="42">
        <v>125</v>
      </c>
      <c r="L2880" s="43"/>
      <c r="M2880" s="43">
        <f>L2880*K2880</f>
        <v>0</v>
      </c>
      <c r="N2880" s="35">
        <v>4690368036603</v>
      </c>
    </row>
    <row r="2881" spans="1:14" ht="36" customHeight="1" outlineLevel="3" x14ac:dyDescent="0.2">
      <c r="A2881" s="36" t="s">
        <v>3523</v>
      </c>
      <c r="B2881" s="37" t="str">
        <f>HYPERLINK("http://www.sedek.ru/upload/iblock/f4e/petuniya_malinovaya_zarya.jpg","фото")</f>
        <v>фото</v>
      </c>
      <c r="C2881" s="38"/>
      <c r="D2881" s="38"/>
      <c r="E2881" s="39" t="s">
        <v>3501</v>
      </c>
      <c r="F2881" s="39" t="s">
        <v>3524</v>
      </c>
      <c r="G2881" s="40">
        <v>5</v>
      </c>
      <c r="H2881" s="39" t="s">
        <v>307</v>
      </c>
      <c r="I2881" s="39" t="s">
        <v>102</v>
      </c>
      <c r="J2881" s="41">
        <v>1500</v>
      </c>
      <c r="K2881" s="42">
        <v>125</v>
      </c>
      <c r="L2881" s="43"/>
      <c r="M2881" s="43">
        <f>L2881*K2881</f>
        <v>0</v>
      </c>
      <c r="N2881" s="35">
        <v>4690368037495</v>
      </c>
    </row>
    <row r="2882" spans="1:14" ht="36" customHeight="1" outlineLevel="3" x14ac:dyDescent="0.2">
      <c r="A2882" s="36" t="s">
        <v>3525</v>
      </c>
      <c r="B2882" s="37" t="str">
        <f>HYPERLINK("http://www.sedek.ru/upload/iblock/24f/petuniya_malyshka_syuzi.jpg","фото")</f>
        <v>фото</v>
      </c>
      <c r="C2882" s="38"/>
      <c r="D2882" s="38"/>
      <c r="E2882" s="39" t="s">
        <v>3486</v>
      </c>
      <c r="F2882" s="39" t="s">
        <v>3526</v>
      </c>
      <c r="G2882" s="40">
        <v>5</v>
      </c>
      <c r="H2882" s="39" t="s">
        <v>307</v>
      </c>
      <c r="I2882" s="39" t="s">
        <v>102</v>
      </c>
      <c r="J2882" s="41">
        <v>1500</v>
      </c>
      <c r="K2882" s="42">
        <v>125</v>
      </c>
      <c r="L2882" s="43"/>
      <c r="M2882" s="43">
        <f>L2882*K2882</f>
        <v>0</v>
      </c>
      <c r="N2882" s="35">
        <v>4690368037563</v>
      </c>
    </row>
    <row r="2883" spans="1:14" ht="24" customHeight="1" outlineLevel="3" x14ac:dyDescent="0.2">
      <c r="A2883" s="36" t="s">
        <v>3527</v>
      </c>
      <c r="B2883" s="37" t="str">
        <f>HYPERLINK("http://www.sedek.ru/upload/iblock/a89/petuniya_marianna.jpg","фото")</f>
        <v>фото</v>
      </c>
      <c r="C2883" s="38"/>
      <c r="D2883" s="38"/>
      <c r="E2883" s="39" t="s">
        <v>3457</v>
      </c>
      <c r="F2883" s="39" t="s">
        <v>3528</v>
      </c>
      <c r="G2883" s="40">
        <v>5</v>
      </c>
      <c r="H2883" s="39" t="s">
        <v>307</v>
      </c>
      <c r="I2883" s="39" t="s">
        <v>102</v>
      </c>
      <c r="J2883" s="41">
        <v>1500</v>
      </c>
      <c r="K2883" s="42">
        <v>125</v>
      </c>
      <c r="L2883" s="43"/>
      <c r="M2883" s="43">
        <f>L2883*K2883</f>
        <v>0</v>
      </c>
      <c r="N2883" s="35">
        <v>4690368037655</v>
      </c>
    </row>
    <row r="2884" spans="1:14" ht="36" customHeight="1" outlineLevel="3" x14ac:dyDescent="0.2">
      <c r="A2884" s="45">
        <v>15656</v>
      </c>
      <c r="B2884" s="37" t="str">
        <f>HYPERLINK("http://sedek.ru/upload/iblock/cd1/petuniya_mashenka_gibridnaya_ampelnaya.jpg","фото")</f>
        <v>фото</v>
      </c>
      <c r="C2884" s="38"/>
      <c r="D2884" s="38"/>
      <c r="E2884" s="39"/>
      <c r="F2884" s="39" t="s">
        <v>3529</v>
      </c>
      <c r="G2884" s="40">
        <v>5</v>
      </c>
      <c r="H2884" s="39" t="s">
        <v>307</v>
      </c>
      <c r="I2884" s="39" t="s">
        <v>102</v>
      </c>
      <c r="J2884" s="41">
        <v>1500</v>
      </c>
      <c r="K2884" s="42">
        <v>206.9</v>
      </c>
      <c r="L2884" s="43"/>
      <c r="M2884" s="43">
        <f>L2884*K2884</f>
        <v>0</v>
      </c>
      <c r="N2884" s="35">
        <v>4690368015776</v>
      </c>
    </row>
    <row r="2885" spans="1:14" ht="36" customHeight="1" outlineLevel="3" x14ac:dyDescent="0.2">
      <c r="A2885" s="36" t="s">
        <v>3530</v>
      </c>
      <c r="B2885" s="37" t="str">
        <f>HYPERLINK("http://www.sedek.ru/upload/iblock/cb8/petuniya_medina_gibridnaya.jpg","фото")</f>
        <v>фото</v>
      </c>
      <c r="C2885" s="38"/>
      <c r="D2885" s="38"/>
      <c r="E2885" s="39" t="s">
        <v>3454</v>
      </c>
      <c r="F2885" s="39" t="s">
        <v>3531</v>
      </c>
      <c r="G2885" s="40">
        <v>5</v>
      </c>
      <c r="H2885" s="39" t="s">
        <v>307</v>
      </c>
      <c r="I2885" s="39" t="s">
        <v>102</v>
      </c>
      <c r="J2885" s="41">
        <v>1500</v>
      </c>
      <c r="K2885" s="42">
        <v>125</v>
      </c>
      <c r="L2885" s="43"/>
      <c r="M2885" s="43">
        <f>L2885*K2885</f>
        <v>0</v>
      </c>
      <c r="N2885" s="35">
        <v>4690368036641</v>
      </c>
    </row>
    <row r="2886" spans="1:14" ht="24" customHeight="1" outlineLevel="3" x14ac:dyDescent="0.2">
      <c r="A2886" s="36" t="s">
        <v>3532</v>
      </c>
      <c r="B2886" s="37" t="str">
        <f>HYPERLINK("http://www.sedek.ru/upload/iblock/69e/petuniya_monika_gibridnaya.jpg","фото")</f>
        <v>фото</v>
      </c>
      <c r="C2886" s="38"/>
      <c r="D2886" s="38"/>
      <c r="E2886" s="39" t="s">
        <v>3495</v>
      </c>
      <c r="F2886" s="39" t="s">
        <v>3533</v>
      </c>
      <c r="G2886" s="40">
        <v>10</v>
      </c>
      <c r="H2886" s="39" t="s">
        <v>307</v>
      </c>
      <c r="I2886" s="39" t="s">
        <v>102</v>
      </c>
      <c r="J2886" s="41">
        <v>1500</v>
      </c>
      <c r="K2886" s="42">
        <v>51.6</v>
      </c>
      <c r="L2886" s="43"/>
      <c r="M2886" s="43">
        <f>L2886*K2886</f>
        <v>0</v>
      </c>
      <c r="N2886" s="35">
        <v>4690368036528</v>
      </c>
    </row>
    <row r="2887" spans="1:14" ht="24" customHeight="1" outlineLevel="3" x14ac:dyDescent="0.2">
      <c r="A2887" s="36" t="s">
        <v>3534</v>
      </c>
      <c r="B2887" s="37" t="str">
        <f>HYPERLINK("http://www.sedek.ru/upload/iblock/e75/petuniya_moya_golubka.jpg","фото")</f>
        <v>фото</v>
      </c>
      <c r="C2887" s="38"/>
      <c r="D2887" s="38"/>
      <c r="E2887" s="39" t="s">
        <v>3492</v>
      </c>
      <c r="F2887" s="39" t="s">
        <v>3535</v>
      </c>
      <c r="G2887" s="40">
        <v>5</v>
      </c>
      <c r="H2887" s="39" t="s">
        <v>307</v>
      </c>
      <c r="I2887" s="39" t="s">
        <v>102</v>
      </c>
      <c r="J2887" s="41">
        <v>1500</v>
      </c>
      <c r="K2887" s="42">
        <v>125</v>
      </c>
      <c r="L2887" s="43"/>
      <c r="M2887" s="43">
        <f>L2887*K2887</f>
        <v>0</v>
      </c>
      <c r="N2887" s="35">
        <v>4690368037525</v>
      </c>
    </row>
    <row r="2888" spans="1:14" ht="24" customHeight="1" outlineLevel="3" x14ac:dyDescent="0.2">
      <c r="A2888" s="45">
        <v>15337</v>
      </c>
      <c r="B2888" s="37" t="str">
        <f>HYPERLINK("http://sedek.ru/upload/iblock/952/petuniya_nasmeshka_f1.jpg","фото")</f>
        <v>фото</v>
      </c>
      <c r="C2888" s="38"/>
      <c r="D2888" s="38"/>
      <c r="E2888" s="39"/>
      <c r="F2888" s="39" t="s">
        <v>3536</v>
      </c>
      <c r="G2888" s="40">
        <v>10</v>
      </c>
      <c r="H2888" s="39" t="s">
        <v>307</v>
      </c>
      <c r="I2888" s="39" t="s">
        <v>102</v>
      </c>
      <c r="J2888" s="41">
        <v>1500</v>
      </c>
      <c r="K2888" s="42">
        <v>33.299999999999997</v>
      </c>
      <c r="L2888" s="43"/>
      <c r="M2888" s="43">
        <f>L2888*K2888</f>
        <v>0</v>
      </c>
      <c r="N2888" s="35">
        <v>4607116265857</v>
      </c>
    </row>
    <row r="2889" spans="1:14" ht="36" customHeight="1" outlineLevel="3" x14ac:dyDescent="0.2">
      <c r="A2889" s="36" t="s">
        <v>3537</v>
      </c>
      <c r="B2889" s="37" t="str">
        <f>HYPERLINK("http://www.sedek.ru/upload/iblock/307/petuniya_oranzhevoe_plamya.jpg","фото")</f>
        <v>фото</v>
      </c>
      <c r="C2889" s="38"/>
      <c r="D2889" s="38"/>
      <c r="E2889" s="39" t="s">
        <v>3486</v>
      </c>
      <c r="F2889" s="39" t="s">
        <v>3538</v>
      </c>
      <c r="G2889" s="40">
        <v>5</v>
      </c>
      <c r="H2889" s="39" t="s">
        <v>307</v>
      </c>
      <c r="I2889" s="39" t="s">
        <v>102</v>
      </c>
      <c r="J2889" s="41">
        <v>1500</v>
      </c>
      <c r="K2889" s="42">
        <v>125</v>
      </c>
      <c r="L2889" s="43"/>
      <c r="M2889" s="43">
        <f>L2889*K2889</f>
        <v>0</v>
      </c>
      <c r="N2889" s="35">
        <v>4690368037556</v>
      </c>
    </row>
    <row r="2890" spans="1:14" ht="36" customHeight="1" outlineLevel="3" x14ac:dyDescent="0.2">
      <c r="A2890" s="36" t="s">
        <v>3539</v>
      </c>
      <c r="B2890" s="37" t="str">
        <f>HYPERLINK("http://www.sedek.ru/upload/iblock/744/petuniya_poetessa_gibridnaya.jpg","фото")</f>
        <v>фото</v>
      </c>
      <c r="C2890" s="38"/>
      <c r="D2890" s="38"/>
      <c r="E2890" s="39" t="s">
        <v>3509</v>
      </c>
      <c r="F2890" s="39" t="s">
        <v>3540</v>
      </c>
      <c r="G2890" s="40">
        <v>10</v>
      </c>
      <c r="H2890" s="39" t="s">
        <v>307</v>
      </c>
      <c r="I2890" s="39" t="s">
        <v>102</v>
      </c>
      <c r="J2890" s="41">
        <v>1500</v>
      </c>
      <c r="K2890" s="42">
        <v>55.7</v>
      </c>
      <c r="L2890" s="43"/>
      <c r="M2890" s="43">
        <f>L2890*K2890</f>
        <v>0</v>
      </c>
      <c r="N2890" s="35">
        <v>4690368036542</v>
      </c>
    </row>
    <row r="2891" spans="1:14" ht="36" customHeight="1" outlineLevel="3" x14ac:dyDescent="0.2">
      <c r="A2891" s="45">
        <v>15910</v>
      </c>
      <c r="B2891" s="37" t="str">
        <f>HYPERLINK("http://sedek.ru/upload/iblock/84a/petuniya_purpurnyy_velvet_gibridnaya_ampelnaya.jpg","фото")</f>
        <v>фото</v>
      </c>
      <c r="C2891" s="38"/>
      <c r="D2891" s="38"/>
      <c r="E2891" s="39"/>
      <c r="F2891" s="39" t="s">
        <v>3541</v>
      </c>
      <c r="G2891" s="40">
        <v>10</v>
      </c>
      <c r="H2891" s="39" t="s">
        <v>307</v>
      </c>
      <c r="I2891" s="39" t="s">
        <v>102</v>
      </c>
      <c r="J2891" s="41">
        <v>1500</v>
      </c>
      <c r="K2891" s="42">
        <v>231.4</v>
      </c>
      <c r="L2891" s="43"/>
      <c r="M2891" s="43">
        <f>L2891*K2891</f>
        <v>0</v>
      </c>
      <c r="N2891" s="35">
        <v>4607116265741</v>
      </c>
    </row>
    <row r="2892" spans="1:14" ht="24" customHeight="1" outlineLevel="3" x14ac:dyDescent="0.2">
      <c r="A2892" s="45">
        <v>16165</v>
      </c>
      <c r="B2892" s="37" t="str">
        <f>HYPERLINK("http://sedek.ru/upload/iblock/15c/petuniya_radost_gibridnaya.jpg","фото")</f>
        <v>фото</v>
      </c>
      <c r="C2892" s="38"/>
      <c r="D2892" s="38"/>
      <c r="E2892" s="39"/>
      <c r="F2892" s="39" t="s">
        <v>3542</v>
      </c>
      <c r="G2892" s="40">
        <v>10</v>
      </c>
      <c r="H2892" s="39" t="s">
        <v>307</v>
      </c>
      <c r="I2892" s="39" t="s">
        <v>102</v>
      </c>
      <c r="J2892" s="41">
        <v>1500</v>
      </c>
      <c r="K2892" s="42">
        <v>33.299999999999997</v>
      </c>
      <c r="L2892" s="43"/>
      <c r="M2892" s="43">
        <f>L2892*K2892</f>
        <v>0</v>
      </c>
      <c r="N2892" s="35">
        <v>4607116265758</v>
      </c>
    </row>
    <row r="2893" spans="1:14" ht="24" customHeight="1" outlineLevel="3" x14ac:dyDescent="0.2">
      <c r="A2893" s="36" t="s">
        <v>3543</v>
      </c>
      <c r="B2893" s="37" t="str">
        <f>HYPERLINK("http://sedek.ru/upload/iblock/16e/petuniya_rayskaya_roza.jpg","фото")</f>
        <v>фото</v>
      </c>
      <c r="C2893" s="38"/>
      <c r="D2893" s="38"/>
      <c r="E2893" s="39"/>
      <c r="F2893" s="39" t="s">
        <v>3544</v>
      </c>
      <c r="G2893" s="54">
        <v>0.01</v>
      </c>
      <c r="H2893" s="39" t="s">
        <v>101</v>
      </c>
      <c r="I2893" s="39" t="s">
        <v>102</v>
      </c>
      <c r="J2893" s="41">
        <v>1500</v>
      </c>
      <c r="K2893" s="42">
        <v>31.5</v>
      </c>
      <c r="L2893" s="43"/>
      <c r="M2893" s="43">
        <f>L2893*K2893</f>
        <v>0</v>
      </c>
      <c r="N2893" s="35">
        <v>4607116265765</v>
      </c>
    </row>
    <row r="2894" spans="1:14" ht="36" customHeight="1" outlineLevel="3" x14ac:dyDescent="0.2">
      <c r="A2894" s="45">
        <v>15828</v>
      </c>
      <c r="B2894" s="37" t="str">
        <f>HYPERLINK("http://sedek.ru/upload/iblock/4cc/petuniya_rubinovye_zvezdy_f1.jpg","фото")</f>
        <v>фото</v>
      </c>
      <c r="C2894" s="38"/>
      <c r="D2894" s="38"/>
      <c r="E2894" s="39"/>
      <c r="F2894" s="39" t="s">
        <v>3545</v>
      </c>
      <c r="G2894" s="40">
        <v>10</v>
      </c>
      <c r="H2894" s="39" t="s">
        <v>307</v>
      </c>
      <c r="I2894" s="39" t="s">
        <v>102</v>
      </c>
      <c r="J2894" s="41">
        <v>1500</v>
      </c>
      <c r="K2894" s="42">
        <v>33.299999999999997</v>
      </c>
      <c r="L2894" s="43"/>
      <c r="M2894" s="43">
        <f>L2894*K2894</f>
        <v>0</v>
      </c>
      <c r="N2894" s="35">
        <v>4690368019743</v>
      </c>
    </row>
    <row r="2895" spans="1:14" ht="24" customHeight="1" outlineLevel="3" x14ac:dyDescent="0.2">
      <c r="A2895" s="45">
        <v>16449</v>
      </c>
      <c r="B2895" s="37" t="str">
        <f>HYPERLINK("http://sedek.ru/upload/iblock/334/petuniya_serenada_f1.jpg","фото")</f>
        <v>фото</v>
      </c>
      <c r="C2895" s="38"/>
      <c r="D2895" s="38"/>
      <c r="E2895" s="39"/>
      <c r="F2895" s="39" t="s">
        <v>3546</v>
      </c>
      <c r="G2895" s="40">
        <v>10</v>
      </c>
      <c r="H2895" s="39" t="s">
        <v>307</v>
      </c>
      <c r="I2895" s="39" t="s">
        <v>102</v>
      </c>
      <c r="J2895" s="41">
        <v>1500</v>
      </c>
      <c r="K2895" s="42">
        <v>36.9</v>
      </c>
      <c r="L2895" s="43"/>
      <c r="M2895" s="43">
        <f>L2895*K2895</f>
        <v>0</v>
      </c>
      <c r="N2895" s="35">
        <v>4607116265772</v>
      </c>
    </row>
    <row r="2896" spans="1:14" ht="24" customHeight="1" outlineLevel="3" x14ac:dyDescent="0.2">
      <c r="A2896" s="36" t="s">
        <v>3547</v>
      </c>
      <c r="B2896" s="37" t="str">
        <f>HYPERLINK("http://www.sedek.ru/upload/iblock/90a/petuniya_skarlett.jpg","фото")</f>
        <v>фото</v>
      </c>
      <c r="C2896" s="38"/>
      <c r="D2896" s="38"/>
      <c r="E2896" s="39" t="s">
        <v>3457</v>
      </c>
      <c r="F2896" s="39" t="s">
        <v>3548</v>
      </c>
      <c r="G2896" s="40">
        <v>5</v>
      </c>
      <c r="H2896" s="39" t="s">
        <v>307</v>
      </c>
      <c r="I2896" s="39" t="s">
        <v>102</v>
      </c>
      <c r="J2896" s="41">
        <v>1500</v>
      </c>
      <c r="K2896" s="42">
        <v>125</v>
      </c>
      <c r="L2896" s="43"/>
      <c r="M2896" s="43">
        <f>L2896*K2896</f>
        <v>0</v>
      </c>
      <c r="N2896" s="35">
        <v>4690368037624</v>
      </c>
    </row>
    <row r="2897" spans="1:14" ht="36" customHeight="1" outlineLevel="3" x14ac:dyDescent="0.2">
      <c r="A2897" s="45">
        <v>14035</v>
      </c>
      <c r="B2897" s="37" t="str">
        <f>HYPERLINK("http://sedek.ru/upload/iblock/2b1/petuniya_sneni_f1.jpg","фото")</f>
        <v>фото</v>
      </c>
      <c r="C2897" s="38"/>
      <c r="D2897" s="38"/>
      <c r="E2897" s="39"/>
      <c r="F2897" s="39" t="s">
        <v>3549</v>
      </c>
      <c r="G2897" s="40">
        <v>10</v>
      </c>
      <c r="H2897" s="39" t="s">
        <v>307</v>
      </c>
      <c r="I2897" s="39" t="s">
        <v>102</v>
      </c>
      <c r="J2897" s="41">
        <v>1500</v>
      </c>
      <c r="K2897" s="42">
        <v>38.9</v>
      </c>
      <c r="L2897" s="43"/>
      <c r="M2897" s="43">
        <f>L2897*K2897</f>
        <v>0</v>
      </c>
      <c r="N2897" s="35">
        <v>4607116265819</v>
      </c>
    </row>
    <row r="2898" spans="1:14" ht="24" customHeight="1" outlineLevel="3" x14ac:dyDescent="0.2">
      <c r="A2898" s="36" t="s">
        <v>3550</v>
      </c>
      <c r="B2898" s="37" t="str">
        <f>HYPERLINK("http://www.sedek.ru/upload/iblock/349/petuniya_sochnyy_laym.jpg","фото")</f>
        <v>фото</v>
      </c>
      <c r="C2898" s="38"/>
      <c r="D2898" s="38"/>
      <c r="E2898" s="39" t="s">
        <v>3454</v>
      </c>
      <c r="F2898" s="39" t="s">
        <v>3551</v>
      </c>
      <c r="G2898" s="40">
        <v>5</v>
      </c>
      <c r="H2898" s="39" t="s">
        <v>307</v>
      </c>
      <c r="I2898" s="39" t="s">
        <v>102</v>
      </c>
      <c r="J2898" s="41">
        <v>1500</v>
      </c>
      <c r="K2898" s="42">
        <v>125</v>
      </c>
      <c r="L2898" s="43"/>
      <c r="M2898" s="43">
        <f>L2898*K2898</f>
        <v>0</v>
      </c>
      <c r="N2898" s="35">
        <v>4690368037570</v>
      </c>
    </row>
    <row r="2899" spans="1:14" ht="24" customHeight="1" outlineLevel="3" x14ac:dyDescent="0.2">
      <c r="A2899" s="36" t="s">
        <v>3552</v>
      </c>
      <c r="B2899" s="37" t="str">
        <f>HYPERLINK("http://www.sedek.ru/upload/iblock/c47/petuniya_stefaniya.jpg","фото")</f>
        <v>фото</v>
      </c>
      <c r="C2899" s="38"/>
      <c r="D2899" s="38"/>
      <c r="E2899" s="39" t="s">
        <v>3457</v>
      </c>
      <c r="F2899" s="39" t="s">
        <v>3553</v>
      </c>
      <c r="G2899" s="40">
        <v>5</v>
      </c>
      <c r="H2899" s="39" t="s">
        <v>307</v>
      </c>
      <c r="I2899" s="39" t="s">
        <v>102</v>
      </c>
      <c r="J2899" s="41">
        <v>1500</v>
      </c>
      <c r="K2899" s="42">
        <v>125</v>
      </c>
      <c r="L2899" s="43"/>
      <c r="M2899" s="43">
        <f>L2899*K2899</f>
        <v>0</v>
      </c>
      <c r="N2899" s="35">
        <v>4690368037617</v>
      </c>
    </row>
    <row r="2900" spans="1:14" ht="24" customHeight="1" outlineLevel="3" x14ac:dyDescent="0.2">
      <c r="A2900" s="36" t="s">
        <v>3554</v>
      </c>
      <c r="B2900" s="37" t="str">
        <f>HYPERLINK("http://www.sedek.ru/upload/iblock/9db/petuniya_talyanka.jpg","фото")</f>
        <v>фото</v>
      </c>
      <c r="C2900" s="38"/>
      <c r="D2900" s="38"/>
      <c r="E2900" s="39" t="s">
        <v>3492</v>
      </c>
      <c r="F2900" s="39" t="s">
        <v>3555</v>
      </c>
      <c r="G2900" s="40">
        <v>5</v>
      </c>
      <c r="H2900" s="39" t="s">
        <v>307</v>
      </c>
      <c r="I2900" s="39" t="s">
        <v>102</v>
      </c>
      <c r="J2900" s="41">
        <v>1500</v>
      </c>
      <c r="K2900" s="42">
        <v>125</v>
      </c>
      <c r="L2900" s="43"/>
      <c r="M2900" s="43">
        <f>L2900*K2900</f>
        <v>0</v>
      </c>
      <c r="N2900" s="35">
        <v>4690368037518</v>
      </c>
    </row>
    <row r="2901" spans="1:14" ht="24" customHeight="1" outlineLevel="3" x14ac:dyDescent="0.2">
      <c r="A2901" s="45">
        <v>15199</v>
      </c>
      <c r="B2901" s="37" t="str">
        <f>HYPERLINK("http://sedek.ru/upload/iblock/6f3/petuniya_tango_f1.jpg","фото")</f>
        <v>фото</v>
      </c>
      <c r="C2901" s="38"/>
      <c r="D2901" s="38"/>
      <c r="E2901" s="39"/>
      <c r="F2901" s="39" t="s">
        <v>3556</v>
      </c>
      <c r="G2901" s="40">
        <v>10</v>
      </c>
      <c r="H2901" s="39" t="s">
        <v>307</v>
      </c>
      <c r="I2901" s="39" t="s">
        <v>102</v>
      </c>
      <c r="J2901" s="41">
        <v>1500</v>
      </c>
      <c r="K2901" s="42">
        <v>36.9</v>
      </c>
      <c r="L2901" s="43"/>
      <c r="M2901" s="43">
        <f>L2901*K2901</f>
        <v>0</v>
      </c>
      <c r="N2901" s="35">
        <v>4607116265833</v>
      </c>
    </row>
    <row r="2902" spans="1:14" ht="24" customHeight="1" outlineLevel="3" x14ac:dyDescent="0.2">
      <c r="A2902" s="45">
        <v>15661</v>
      </c>
      <c r="B2902" s="37" t="str">
        <f>HYPERLINK("http://sedek.ru/upload/iblock/750/petuniya_tanyushka_gibridnaya.jpg","фото")</f>
        <v>фото</v>
      </c>
      <c r="C2902" s="38"/>
      <c r="D2902" s="38"/>
      <c r="E2902" s="39"/>
      <c r="F2902" s="39" t="s">
        <v>3557</v>
      </c>
      <c r="G2902" s="40">
        <v>10</v>
      </c>
      <c r="H2902" s="39" t="s">
        <v>307</v>
      </c>
      <c r="I2902" s="39" t="s">
        <v>102</v>
      </c>
      <c r="J2902" s="41">
        <v>1500</v>
      </c>
      <c r="K2902" s="42">
        <v>30.3</v>
      </c>
      <c r="L2902" s="43"/>
      <c r="M2902" s="43">
        <f>L2902*K2902</f>
        <v>0</v>
      </c>
      <c r="N2902" s="35">
        <v>4690368015790</v>
      </c>
    </row>
    <row r="2903" spans="1:14" ht="36" customHeight="1" outlineLevel="3" x14ac:dyDescent="0.2">
      <c r="A2903" s="36" t="s">
        <v>3558</v>
      </c>
      <c r="B2903" s="37" t="str">
        <f>HYPERLINK("http://www.sedek.ru/upload/iblock/7bd/petuniya_elegiya_gibridnaya.jpg","фото")</f>
        <v>фото</v>
      </c>
      <c r="C2903" s="38"/>
      <c r="D2903" s="38"/>
      <c r="E2903" s="39"/>
      <c r="F2903" s="39" t="s">
        <v>3559</v>
      </c>
      <c r="G2903" s="40">
        <v>5</v>
      </c>
      <c r="H2903" s="39" t="s">
        <v>307</v>
      </c>
      <c r="I2903" s="39" t="s">
        <v>102</v>
      </c>
      <c r="J2903" s="41">
        <v>1500</v>
      </c>
      <c r="K2903" s="42">
        <v>125</v>
      </c>
      <c r="L2903" s="43"/>
      <c r="M2903" s="43">
        <f>L2903*K2903</f>
        <v>0</v>
      </c>
      <c r="N2903" s="35">
        <v>4690368036610</v>
      </c>
    </row>
    <row r="2904" spans="1:14" ht="24" customHeight="1" outlineLevel="3" x14ac:dyDescent="0.2">
      <c r="A2904" s="36" t="s">
        <v>3560</v>
      </c>
      <c r="B2904" s="37" t="str">
        <f>HYPERLINK("http://www.sedek.ru/upload/iblock/2d5/petuniya_eliza.jpg","фото")</f>
        <v>фото</v>
      </c>
      <c r="C2904" s="38"/>
      <c r="D2904" s="38"/>
      <c r="E2904" s="39" t="s">
        <v>3457</v>
      </c>
      <c r="F2904" s="39" t="s">
        <v>3561</v>
      </c>
      <c r="G2904" s="40">
        <v>5</v>
      </c>
      <c r="H2904" s="39" t="s">
        <v>307</v>
      </c>
      <c r="I2904" s="39" t="s">
        <v>102</v>
      </c>
      <c r="J2904" s="41">
        <v>1500</v>
      </c>
      <c r="K2904" s="42">
        <v>125</v>
      </c>
      <c r="L2904" s="43"/>
      <c r="M2904" s="43">
        <f>L2904*K2904</f>
        <v>0</v>
      </c>
      <c r="N2904" s="35">
        <v>4690368037648</v>
      </c>
    </row>
    <row r="2905" spans="1:14" ht="36" customHeight="1" outlineLevel="3" x14ac:dyDescent="0.2">
      <c r="A2905" s="36" t="s">
        <v>3562</v>
      </c>
      <c r="B2905" s="37" t="str">
        <f>HYPERLINK("http://www.sedek.ru/upload/iblock/f33/petuniya_yadviga_gibridnaya.jpg","фото")</f>
        <v>фото</v>
      </c>
      <c r="C2905" s="38"/>
      <c r="D2905" s="38"/>
      <c r="E2905" s="39" t="s">
        <v>3495</v>
      </c>
      <c r="F2905" s="39" t="s">
        <v>3563</v>
      </c>
      <c r="G2905" s="40">
        <v>10</v>
      </c>
      <c r="H2905" s="39" t="s">
        <v>307</v>
      </c>
      <c r="I2905" s="39" t="s">
        <v>102</v>
      </c>
      <c r="J2905" s="41">
        <v>1500</v>
      </c>
      <c r="K2905" s="42">
        <v>51.6</v>
      </c>
      <c r="L2905" s="43"/>
      <c r="M2905" s="43">
        <f>L2905*K2905</f>
        <v>0</v>
      </c>
      <c r="N2905" s="35">
        <v>4690368036511</v>
      </c>
    </row>
    <row r="2906" spans="1:14" ht="36" customHeight="1" outlineLevel="3" x14ac:dyDescent="0.2">
      <c r="A2906" s="45">
        <v>13512</v>
      </c>
      <c r="B2906" s="37" t="str">
        <f>HYPERLINK("http://sedek.ru/upload/iblock/923/piretrum_trubadur.jpg","фото")</f>
        <v>фото</v>
      </c>
      <c r="C2906" s="38"/>
      <c r="D2906" s="38"/>
      <c r="E2906" s="39"/>
      <c r="F2906" s="39" t="s">
        <v>3564</v>
      </c>
      <c r="G2906" s="44">
        <v>0.1</v>
      </c>
      <c r="H2906" s="39" t="s">
        <v>101</v>
      </c>
      <c r="I2906" s="39" t="s">
        <v>102</v>
      </c>
      <c r="J2906" s="41">
        <v>3000</v>
      </c>
      <c r="K2906" s="42">
        <v>24.9</v>
      </c>
      <c r="L2906" s="43"/>
      <c r="M2906" s="43">
        <f>L2906*K2906</f>
        <v>0</v>
      </c>
      <c r="N2906" s="35">
        <v>4607116265871</v>
      </c>
    </row>
    <row r="2907" spans="1:14" ht="24" customHeight="1" outlineLevel="3" x14ac:dyDescent="0.2">
      <c r="A2907" s="45">
        <v>16198</v>
      </c>
      <c r="B2907" s="37" t="str">
        <f>HYPERLINK("http://sedek.ru/upload/iblock/251/platikodon_blyuz.jpg","фото")</f>
        <v>фото</v>
      </c>
      <c r="C2907" s="38"/>
      <c r="D2907" s="38"/>
      <c r="E2907" s="39"/>
      <c r="F2907" s="39" t="s">
        <v>3565</v>
      </c>
      <c r="G2907" s="44">
        <v>0.1</v>
      </c>
      <c r="H2907" s="39" t="s">
        <v>101</v>
      </c>
      <c r="I2907" s="39" t="s">
        <v>102</v>
      </c>
      <c r="J2907" s="41">
        <v>3000</v>
      </c>
      <c r="K2907" s="42">
        <v>40.200000000000003</v>
      </c>
      <c r="L2907" s="43"/>
      <c r="M2907" s="43">
        <f>L2907*K2907</f>
        <v>0</v>
      </c>
      <c r="N2907" s="35">
        <v>4607116265888</v>
      </c>
    </row>
    <row r="2908" spans="1:14" ht="24" customHeight="1" outlineLevel="3" x14ac:dyDescent="0.2">
      <c r="A2908" s="45">
        <v>14681</v>
      </c>
      <c r="B2908" s="37" t="str">
        <f>HYPERLINK("http://sedek.ru/upload/iblock/62b/podsolnechnik_ays_krim.jpg","фото")</f>
        <v>фото</v>
      </c>
      <c r="C2908" s="38"/>
      <c r="D2908" s="38"/>
      <c r="E2908" s="39"/>
      <c r="F2908" s="39" t="s">
        <v>3566</v>
      </c>
      <c r="G2908" s="54">
        <v>0.05</v>
      </c>
      <c r="H2908" s="39" t="s">
        <v>101</v>
      </c>
      <c r="I2908" s="39" t="s">
        <v>102</v>
      </c>
      <c r="J2908" s="41">
        <v>1500</v>
      </c>
      <c r="K2908" s="42">
        <v>21.4</v>
      </c>
      <c r="L2908" s="43"/>
      <c r="M2908" s="43">
        <f>L2908*K2908</f>
        <v>0</v>
      </c>
      <c r="N2908" s="35">
        <v>4607116265901</v>
      </c>
    </row>
    <row r="2909" spans="1:14" ht="48" customHeight="1" outlineLevel="3" x14ac:dyDescent="0.2">
      <c r="A2909" s="45">
        <v>14244</v>
      </c>
      <c r="B2909" s="37" t="str">
        <f>HYPERLINK("http://www.sedek.ru/upload/iblock/869/podsolnechnik_osenniy_krasavets.jpg ","фото")</f>
        <v>фото</v>
      </c>
      <c r="C2909" s="38"/>
      <c r="D2909" s="38"/>
      <c r="E2909" s="39"/>
      <c r="F2909" s="39" t="s">
        <v>3567</v>
      </c>
      <c r="G2909" s="40">
        <v>1</v>
      </c>
      <c r="H2909" s="39" t="s">
        <v>101</v>
      </c>
      <c r="I2909" s="39" t="s">
        <v>102</v>
      </c>
      <c r="J2909" s="41">
        <v>1500</v>
      </c>
      <c r="K2909" s="42">
        <v>21.4</v>
      </c>
      <c r="L2909" s="43"/>
      <c r="M2909" s="43">
        <f>L2909*K2909</f>
        <v>0</v>
      </c>
      <c r="N2909" s="35">
        <v>4607116265932</v>
      </c>
    </row>
    <row r="2910" spans="1:14" ht="36" customHeight="1" outlineLevel="3" x14ac:dyDescent="0.2">
      <c r="A2910" s="45">
        <v>16020</v>
      </c>
      <c r="B2910" s="37" t="str">
        <f>HYPERLINK("http://sedek.ru/upload/iblock/3d2/podsolnechnik_papa_teddi.jpg","фото")</f>
        <v>фото</v>
      </c>
      <c r="C2910" s="38"/>
      <c r="D2910" s="38"/>
      <c r="E2910" s="39"/>
      <c r="F2910" s="39" t="s">
        <v>3568</v>
      </c>
      <c r="G2910" s="40">
        <v>1</v>
      </c>
      <c r="H2910" s="39" t="s">
        <v>101</v>
      </c>
      <c r="I2910" s="39" t="s">
        <v>102</v>
      </c>
      <c r="J2910" s="41">
        <v>1500</v>
      </c>
      <c r="K2910" s="42">
        <v>24.9</v>
      </c>
      <c r="L2910" s="43"/>
      <c r="M2910" s="43">
        <f>L2910*K2910</f>
        <v>0</v>
      </c>
      <c r="N2910" s="35">
        <v>4607116265949</v>
      </c>
    </row>
    <row r="2911" spans="1:14" ht="36" customHeight="1" outlineLevel="3" x14ac:dyDescent="0.2">
      <c r="A2911" s="45">
        <v>15021</v>
      </c>
      <c r="B2911" s="37" t="str">
        <f>HYPERLINK("http://sedek.ru/upload/iblock/b35/portulak_alenkiy_tsvetochek.jpg","фото")</f>
        <v>фото</v>
      </c>
      <c r="C2911" s="38"/>
      <c r="D2911" s="38"/>
      <c r="E2911" s="39"/>
      <c r="F2911" s="39" t="s">
        <v>3569</v>
      </c>
      <c r="G2911" s="54">
        <v>0.04</v>
      </c>
      <c r="H2911" s="39" t="s">
        <v>101</v>
      </c>
      <c r="I2911" s="39" t="s">
        <v>102</v>
      </c>
      <c r="J2911" s="41">
        <v>3000</v>
      </c>
      <c r="K2911" s="42">
        <v>21.4</v>
      </c>
      <c r="L2911" s="43"/>
      <c r="M2911" s="43">
        <f>L2911*K2911</f>
        <v>0</v>
      </c>
      <c r="N2911" s="35">
        <v>4690368019132</v>
      </c>
    </row>
    <row r="2912" spans="1:14" ht="24" customHeight="1" outlineLevel="3" x14ac:dyDescent="0.2">
      <c r="A2912" s="45">
        <v>15063</v>
      </c>
      <c r="B2912" s="37" t="str">
        <f>HYPERLINK("http://sedek.ru/upload/iblock/b6b/portulak_vspyshka.jpg","фото")</f>
        <v>фото</v>
      </c>
      <c r="C2912" s="38"/>
      <c r="D2912" s="38"/>
      <c r="E2912" s="39"/>
      <c r="F2912" s="39" t="s">
        <v>3570</v>
      </c>
      <c r="G2912" s="54">
        <v>0.06</v>
      </c>
      <c r="H2912" s="39" t="s">
        <v>101</v>
      </c>
      <c r="I2912" s="39" t="s">
        <v>102</v>
      </c>
      <c r="J2912" s="41">
        <v>3000</v>
      </c>
      <c r="K2912" s="42">
        <v>21.4</v>
      </c>
      <c r="L2912" s="43"/>
      <c r="M2912" s="43">
        <f>L2912*K2912</f>
        <v>0</v>
      </c>
      <c r="N2912" s="35">
        <v>4607149404001</v>
      </c>
    </row>
    <row r="2913" spans="1:14" ht="24" customHeight="1" outlineLevel="3" x14ac:dyDescent="0.2">
      <c r="A2913" s="45">
        <v>15205</v>
      </c>
      <c r="B2913" s="37" t="str">
        <f>HYPERLINK("http://sedek.ru/upload/iblock/e3a/portulak_solnechnyy.jpg","фото")</f>
        <v>фото</v>
      </c>
      <c r="C2913" s="38"/>
      <c r="D2913" s="38"/>
      <c r="E2913" s="39"/>
      <c r="F2913" s="39" t="s">
        <v>3571</v>
      </c>
      <c r="G2913" s="54">
        <v>0.06</v>
      </c>
      <c r="H2913" s="39" t="s">
        <v>101</v>
      </c>
      <c r="I2913" s="39" t="s">
        <v>102</v>
      </c>
      <c r="J2913" s="41">
        <v>3000</v>
      </c>
      <c r="K2913" s="42">
        <v>28.2</v>
      </c>
      <c r="L2913" s="43"/>
      <c r="M2913" s="43">
        <f>L2913*K2913</f>
        <v>0</v>
      </c>
      <c r="N2913" s="35">
        <v>4607149403998</v>
      </c>
    </row>
    <row r="2914" spans="1:14" ht="36" customHeight="1" outlineLevel="3" x14ac:dyDescent="0.2">
      <c r="A2914" s="46">
        <v>15020</v>
      </c>
      <c r="B2914" s="47" t="str">
        <f>HYPERLINK("http://sedek.ru/upload/iblock/b68/portulak_tsvetik_semitsvetik.jpg","фото")</f>
        <v>фото</v>
      </c>
      <c r="C2914" s="48"/>
      <c r="D2914" s="48"/>
      <c r="E2914" s="49"/>
      <c r="F2914" s="49" t="s">
        <v>3572</v>
      </c>
      <c r="G2914" s="56">
        <v>0.1</v>
      </c>
      <c r="H2914" s="49" t="s">
        <v>101</v>
      </c>
      <c r="I2914" s="49" t="s">
        <v>102</v>
      </c>
      <c r="J2914" s="51">
        <v>3000</v>
      </c>
      <c r="K2914" s="52">
        <v>26.8</v>
      </c>
      <c r="L2914" s="53"/>
      <c r="M2914" s="53">
        <f>L2914*K2914</f>
        <v>0</v>
      </c>
      <c r="N2914" s="35">
        <v>4690368019125</v>
      </c>
    </row>
    <row r="2915" spans="1:14" ht="36" customHeight="1" outlineLevel="3" x14ac:dyDescent="0.2">
      <c r="A2915" s="36" t="s">
        <v>3573</v>
      </c>
      <c r="B2915" s="37" t="str">
        <f>HYPERLINK("http://www.sedek.ru/upload/iblock/a25/primula_blu_dzhins_f1_besstebelnaya.jpg","фото")</f>
        <v>фото</v>
      </c>
      <c r="C2915" s="38"/>
      <c r="D2915" s="38"/>
      <c r="E2915" s="39" t="s">
        <v>3574</v>
      </c>
      <c r="F2915" s="39" t="s">
        <v>3575</v>
      </c>
      <c r="G2915" s="40">
        <v>5</v>
      </c>
      <c r="H2915" s="39" t="s">
        <v>307</v>
      </c>
      <c r="I2915" s="39" t="s">
        <v>102</v>
      </c>
      <c r="J2915" s="41">
        <v>3500</v>
      </c>
      <c r="K2915" s="42">
        <v>73.2</v>
      </c>
      <c r="L2915" s="43"/>
      <c r="M2915" s="43">
        <f>L2915*K2915</f>
        <v>0</v>
      </c>
      <c r="N2915" s="35">
        <v>4690368036740</v>
      </c>
    </row>
    <row r="2916" spans="1:14" ht="36" customHeight="1" outlineLevel="3" x14ac:dyDescent="0.2">
      <c r="A2916" s="36" t="s">
        <v>3576</v>
      </c>
      <c r="B2916" s="37" t="str">
        <f>HYPERLINK("http://www.sedek.ru/upload/iblock/8fd/primula_budda_f1_besstebelnaya.jpg","фото")</f>
        <v>фото</v>
      </c>
      <c r="C2916" s="38"/>
      <c r="D2916" s="38"/>
      <c r="E2916" s="39"/>
      <c r="F2916" s="39" t="s">
        <v>3577</v>
      </c>
      <c r="G2916" s="40">
        <v>5</v>
      </c>
      <c r="H2916" s="39" t="s">
        <v>307</v>
      </c>
      <c r="I2916" s="39" t="s">
        <v>102</v>
      </c>
      <c r="J2916" s="41">
        <v>3500</v>
      </c>
      <c r="K2916" s="42">
        <v>80.900000000000006</v>
      </c>
      <c r="L2916" s="43"/>
      <c r="M2916" s="43">
        <f>L2916*K2916</f>
        <v>0</v>
      </c>
      <c r="N2916" s="35">
        <v>4690368036771</v>
      </c>
    </row>
    <row r="2917" spans="1:14" ht="24" customHeight="1" outlineLevel="3" x14ac:dyDescent="0.2">
      <c r="A2917" s="36" t="s">
        <v>3578</v>
      </c>
      <c r="B2917" s="37" t="str">
        <f>HYPERLINK("http://www.sedek.ru/upload/iblock/ba4/primula_viven_f1_besstebelnaya.jpg","фото")</f>
        <v>фото</v>
      </c>
      <c r="C2917" s="38"/>
      <c r="D2917" s="38"/>
      <c r="E2917" s="39" t="s">
        <v>3574</v>
      </c>
      <c r="F2917" s="39" t="s">
        <v>3579</v>
      </c>
      <c r="G2917" s="40">
        <v>5</v>
      </c>
      <c r="H2917" s="39" t="s">
        <v>307</v>
      </c>
      <c r="I2917" s="39" t="s">
        <v>102</v>
      </c>
      <c r="J2917" s="41">
        <v>3500</v>
      </c>
      <c r="K2917" s="42">
        <v>80.900000000000006</v>
      </c>
      <c r="L2917" s="43"/>
      <c r="M2917" s="43">
        <f>L2917*K2917</f>
        <v>0</v>
      </c>
      <c r="N2917" s="35">
        <v>4690368036801</v>
      </c>
    </row>
    <row r="2918" spans="1:14" ht="36" customHeight="1" outlineLevel="3" x14ac:dyDescent="0.2">
      <c r="A2918" s="36" t="s">
        <v>3580</v>
      </c>
      <c r="B2918" s="37" t="str">
        <f>HYPERLINK("http://www.sedek.ru/upload/iblock/2fd/primula_debyutantka_f1_polumakhrovaya_smes.jpg","фото")</f>
        <v>фото</v>
      </c>
      <c r="C2918" s="38"/>
      <c r="D2918" s="38"/>
      <c r="E2918" s="39"/>
      <c r="F2918" s="39" t="s">
        <v>3581</v>
      </c>
      <c r="G2918" s="40">
        <v>5</v>
      </c>
      <c r="H2918" s="39" t="s">
        <v>307</v>
      </c>
      <c r="I2918" s="39" t="s">
        <v>102</v>
      </c>
      <c r="J2918" s="41">
        <v>3500</v>
      </c>
      <c r="K2918" s="42">
        <v>73.2</v>
      </c>
      <c r="L2918" s="43"/>
      <c r="M2918" s="43">
        <f>L2918*K2918</f>
        <v>0</v>
      </c>
      <c r="N2918" s="35">
        <v>4690368036719</v>
      </c>
    </row>
    <row r="2919" spans="1:14" ht="24" customHeight="1" outlineLevel="3" x14ac:dyDescent="0.2">
      <c r="A2919" s="45">
        <v>16008</v>
      </c>
      <c r="B2919" s="37" t="str">
        <f>HYPERLINK("http://sedek.ru/upload/iblock/f5a/primula_karnaval.jpg","фото")</f>
        <v>фото</v>
      </c>
      <c r="C2919" s="38"/>
      <c r="D2919" s="38"/>
      <c r="E2919" s="39"/>
      <c r="F2919" s="39" t="s">
        <v>3582</v>
      </c>
      <c r="G2919" s="54">
        <v>0.02</v>
      </c>
      <c r="H2919" s="39" t="s">
        <v>101</v>
      </c>
      <c r="I2919" s="39" t="s">
        <v>102</v>
      </c>
      <c r="J2919" s="41">
        <v>3500</v>
      </c>
      <c r="K2919" s="42">
        <v>142.4</v>
      </c>
      <c r="L2919" s="43"/>
      <c r="M2919" s="43">
        <f>L2919*K2919</f>
        <v>0</v>
      </c>
      <c r="N2919" s="35">
        <v>4607149401307</v>
      </c>
    </row>
    <row r="2920" spans="1:14" ht="24" customHeight="1" outlineLevel="3" x14ac:dyDescent="0.2">
      <c r="A2920" s="36" t="s">
        <v>3583</v>
      </c>
      <c r="B2920" s="37" t="str">
        <f>HYPERLINK("http://www.sedek.ru/upload/iblock/5e7/primula_limonchello_f1_besstebelnaya.jpg","фото")</f>
        <v>фото</v>
      </c>
      <c r="C2920" s="38"/>
      <c r="D2920" s="38"/>
      <c r="E2920" s="39"/>
      <c r="F2920" s="39" t="s">
        <v>3584</v>
      </c>
      <c r="G2920" s="40">
        <v>5</v>
      </c>
      <c r="H2920" s="39" t="s">
        <v>307</v>
      </c>
      <c r="I2920" s="39" t="s">
        <v>102</v>
      </c>
      <c r="J2920" s="41">
        <v>3500</v>
      </c>
      <c r="K2920" s="42">
        <v>80.900000000000006</v>
      </c>
      <c r="L2920" s="43"/>
      <c r="M2920" s="43">
        <f>L2920*K2920</f>
        <v>0</v>
      </c>
      <c r="N2920" s="35">
        <v>4690368036726</v>
      </c>
    </row>
    <row r="2921" spans="1:14" ht="36" customHeight="1" outlineLevel="3" x14ac:dyDescent="0.2">
      <c r="A2921" s="36" t="s">
        <v>3585</v>
      </c>
      <c r="B2921" s="37" t="str">
        <f>HYPERLINK("http://www.sedek.ru/upload/iblock/718/primula_madzhenta_f1_besstebelnaya.jpg","фото")</f>
        <v>фото</v>
      </c>
      <c r="C2921" s="38"/>
      <c r="D2921" s="38"/>
      <c r="E2921" s="39" t="s">
        <v>3574</v>
      </c>
      <c r="F2921" s="39" t="s">
        <v>3586</v>
      </c>
      <c r="G2921" s="40">
        <v>5</v>
      </c>
      <c r="H2921" s="39" t="s">
        <v>307</v>
      </c>
      <c r="I2921" s="39" t="s">
        <v>102</v>
      </c>
      <c r="J2921" s="41">
        <v>3500</v>
      </c>
      <c r="K2921" s="42">
        <v>80.900000000000006</v>
      </c>
      <c r="L2921" s="43"/>
      <c r="M2921" s="43">
        <f>L2921*K2921</f>
        <v>0</v>
      </c>
      <c r="N2921" s="35">
        <v>4690368036795</v>
      </c>
    </row>
    <row r="2922" spans="1:14" ht="24" customHeight="1" outlineLevel="3" x14ac:dyDescent="0.2">
      <c r="A2922" s="45">
        <v>13532</v>
      </c>
      <c r="B2922" s="37" t="str">
        <f>HYPERLINK("http://sedek.ru/upload/iblock/450/primula_margo_mnogotsvetkovaya.jpg","фото")</f>
        <v>фото</v>
      </c>
      <c r="C2922" s="38"/>
      <c r="D2922" s="38"/>
      <c r="E2922" s="39"/>
      <c r="F2922" s="39" t="s">
        <v>3587</v>
      </c>
      <c r="G2922" s="44">
        <v>0.1</v>
      </c>
      <c r="H2922" s="39" t="s">
        <v>101</v>
      </c>
      <c r="I2922" s="39" t="s">
        <v>102</v>
      </c>
      <c r="J2922" s="41">
        <v>3500</v>
      </c>
      <c r="K2922" s="42">
        <v>159.6</v>
      </c>
      <c r="L2922" s="43"/>
      <c r="M2922" s="43">
        <f>L2922*K2922</f>
        <v>0</v>
      </c>
      <c r="N2922" s="35">
        <v>4607116265970</v>
      </c>
    </row>
    <row r="2923" spans="1:14" ht="36" customHeight="1" outlineLevel="3" x14ac:dyDescent="0.2">
      <c r="A2923" s="36" t="s">
        <v>3588</v>
      </c>
      <c r="B2923" s="37" t="str">
        <f>HYPERLINK("http://www.sedek.ru/upload/iblock/e76/primula_monmartr_f1_besstebelnaya.jpg","фото")</f>
        <v>фото</v>
      </c>
      <c r="C2923" s="38"/>
      <c r="D2923" s="38"/>
      <c r="E2923" s="39" t="s">
        <v>3574</v>
      </c>
      <c r="F2923" s="39" t="s">
        <v>3589</v>
      </c>
      <c r="G2923" s="40">
        <v>5</v>
      </c>
      <c r="H2923" s="39" t="s">
        <v>307</v>
      </c>
      <c r="I2923" s="39" t="s">
        <v>102</v>
      </c>
      <c r="J2923" s="41">
        <v>3500</v>
      </c>
      <c r="K2923" s="42">
        <v>80.900000000000006</v>
      </c>
      <c r="L2923" s="43"/>
      <c r="M2923" s="43">
        <f>L2923*K2923</f>
        <v>0</v>
      </c>
      <c r="N2923" s="35">
        <v>4690368036757</v>
      </c>
    </row>
    <row r="2924" spans="1:14" ht="36" customHeight="1" outlineLevel="3" x14ac:dyDescent="0.2">
      <c r="A2924" s="36" t="s">
        <v>3590</v>
      </c>
      <c r="B2924" s="37" t="str">
        <f>HYPERLINK("http://www.sedek.ru/upload/iblock/dd5/primula_oktava_f1_besstebelnaya.jpg","фото")</f>
        <v>фото</v>
      </c>
      <c r="C2924" s="38"/>
      <c r="D2924" s="38"/>
      <c r="E2924" s="39" t="s">
        <v>3591</v>
      </c>
      <c r="F2924" s="39" t="s">
        <v>3592</v>
      </c>
      <c r="G2924" s="40">
        <v>5</v>
      </c>
      <c r="H2924" s="39" t="s">
        <v>307</v>
      </c>
      <c r="I2924" s="39" t="s">
        <v>102</v>
      </c>
      <c r="J2924" s="41">
        <v>3500</v>
      </c>
      <c r="K2924" s="42">
        <v>80.900000000000006</v>
      </c>
      <c r="L2924" s="43"/>
      <c r="M2924" s="43">
        <f>L2924*K2924</f>
        <v>0</v>
      </c>
      <c r="N2924" s="35">
        <v>4690368036733</v>
      </c>
    </row>
    <row r="2925" spans="1:14" ht="36" customHeight="1" outlineLevel="3" x14ac:dyDescent="0.2">
      <c r="A2925" s="36" t="s">
        <v>3593</v>
      </c>
      <c r="B2925" s="37" t="str">
        <f>HYPERLINK("http://www.sedek.ru/upload/iblock/9ce/primula_regina_f1_besstebelnaya.jpg","фото")</f>
        <v>фото</v>
      </c>
      <c r="C2925" s="38"/>
      <c r="D2925" s="38"/>
      <c r="E2925" s="39" t="s">
        <v>3574</v>
      </c>
      <c r="F2925" s="39" t="s">
        <v>3594</v>
      </c>
      <c r="G2925" s="40">
        <v>5</v>
      </c>
      <c r="H2925" s="39" t="s">
        <v>307</v>
      </c>
      <c r="I2925" s="39" t="s">
        <v>102</v>
      </c>
      <c r="J2925" s="41">
        <v>3500</v>
      </c>
      <c r="K2925" s="42">
        <v>80.900000000000006</v>
      </c>
      <c r="L2925" s="43"/>
      <c r="M2925" s="43">
        <f>L2925*K2925</f>
        <v>0</v>
      </c>
      <c r="N2925" s="35">
        <v>4690368036764</v>
      </c>
    </row>
    <row r="2926" spans="1:14" ht="36" customHeight="1" outlineLevel="3" x14ac:dyDescent="0.2">
      <c r="A2926" s="45">
        <v>15026</v>
      </c>
      <c r="B2926" s="37" t="str">
        <f>HYPERLINK("http://sedek.ru/upload/iblock/2e2/ratibida_sombrero.jpg","фото")</f>
        <v>фото</v>
      </c>
      <c r="C2926" s="38"/>
      <c r="D2926" s="38"/>
      <c r="E2926" s="39"/>
      <c r="F2926" s="39" t="s">
        <v>3595</v>
      </c>
      <c r="G2926" s="44">
        <v>0.1</v>
      </c>
      <c r="H2926" s="39" t="s">
        <v>101</v>
      </c>
      <c r="I2926" s="39" t="s">
        <v>102</v>
      </c>
      <c r="J2926" s="41">
        <v>3000</v>
      </c>
      <c r="K2926" s="42">
        <v>24.9</v>
      </c>
      <c r="L2926" s="43"/>
      <c r="M2926" s="43">
        <f>L2926*K2926</f>
        <v>0</v>
      </c>
      <c r="N2926" s="35">
        <v>4690368019187</v>
      </c>
    </row>
    <row r="2927" spans="1:14" ht="24" customHeight="1" outlineLevel="3" x14ac:dyDescent="0.2">
      <c r="A2927" s="45">
        <v>15156</v>
      </c>
      <c r="B2927" s="37" t="str">
        <f>HYPERLINK("http://sedek.ru/upload/iblock/9a5/rezeda_romantika_dushistaya.jpg","фото")</f>
        <v>фото</v>
      </c>
      <c r="C2927" s="38"/>
      <c r="D2927" s="38"/>
      <c r="E2927" s="39"/>
      <c r="F2927" s="39" t="s">
        <v>3596</v>
      </c>
      <c r="G2927" s="40">
        <v>1</v>
      </c>
      <c r="H2927" s="39" t="s">
        <v>101</v>
      </c>
      <c r="I2927" s="39" t="s">
        <v>102</v>
      </c>
      <c r="J2927" s="41">
        <v>2500</v>
      </c>
      <c r="K2927" s="42">
        <v>21.4</v>
      </c>
      <c r="L2927" s="43"/>
      <c r="M2927" s="43">
        <f>L2927*K2927</f>
        <v>0</v>
      </c>
      <c r="N2927" s="35">
        <v>4607116266014</v>
      </c>
    </row>
    <row r="2928" spans="1:14" ht="24" customHeight="1" outlineLevel="3" x14ac:dyDescent="0.2">
      <c r="A2928" s="45">
        <v>30970</v>
      </c>
      <c r="B2928" s="37" t="str">
        <f>HYPERLINK("http://www.sedek.ru/upload/iblock/b0c/roza_kitayskaya_krylya_angela.jpg","фото")</f>
        <v>фото</v>
      </c>
      <c r="C2928" s="38"/>
      <c r="D2928" s="38"/>
      <c r="E2928" s="39"/>
      <c r="F2928" s="39" t="s">
        <v>3597</v>
      </c>
      <c r="G2928" s="44">
        <v>0.1</v>
      </c>
      <c r="H2928" s="39" t="s">
        <v>101</v>
      </c>
      <c r="I2928" s="39" t="s">
        <v>102</v>
      </c>
      <c r="J2928" s="57"/>
      <c r="K2928" s="42">
        <v>81.599999999999994</v>
      </c>
      <c r="L2928" s="43"/>
      <c r="M2928" s="43">
        <f>L2928*K2928</f>
        <v>0</v>
      </c>
      <c r="N2928" s="35">
        <v>4690368027090</v>
      </c>
    </row>
    <row r="2929" spans="1:14" ht="36" customHeight="1" outlineLevel="3" x14ac:dyDescent="0.2">
      <c r="A2929" s="45">
        <v>14540</v>
      </c>
      <c r="B2929" s="37" t="str">
        <f>HYPERLINK("http://sedek.ru/upload/iblock/97b/rudbekiya_zolotoy_luch.jpg","фото")</f>
        <v>фото</v>
      </c>
      <c r="C2929" s="38"/>
      <c r="D2929" s="38"/>
      <c r="E2929" s="39"/>
      <c r="F2929" s="39" t="s">
        <v>3598</v>
      </c>
      <c r="G2929" s="54">
        <v>0.05</v>
      </c>
      <c r="H2929" s="39" t="s">
        <v>101</v>
      </c>
      <c r="I2929" s="39" t="s">
        <v>102</v>
      </c>
      <c r="J2929" s="41">
        <v>3000</v>
      </c>
      <c r="K2929" s="42">
        <v>33.799999999999997</v>
      </c>
      <c r="L2929" s="43"/>
      <c r="M2929" s="43">
        <f>L2929*K2929</f>
        <v>0</v>
      </c>
      <c r="N2929" s="35">
        <v>4607116266021</v>
      </c>
    </row>
    <row r="2930" spans="1:14" ht="24" customHeight="1" outlineLevel="3" x14ac:dyDescent="0.2">
      <c r="A2930" s="45">
        <v>16225</v>
      </c>
      <c r="B2930" s="37" t="str">
        <f>HYPERLINK("http://sedek.ru/upload/iblock/18a/rudbekiya_letka_enka.jpg","фото")</f>
        <v>фото</v>
      </c>
      <c r="C2930" s="38"/>
      <c r="D2930" s="38"/>
      <c r="E2930" s="39"/>
      <c r="F2930" s="39" t="s">
        <v>3599</v>
      </c>
      <c r="G2930" s="54">
        <v>0.05</v>
      </c>
      <c r="H2930" s="39" t="s">
        <v>101</v>
      </c>
      <c r="I2930" s="39" t="s">
        <v>102</v>
      </c>
      <c r="J2930" s="41">
        <v>3000</v>
      </c>
      <c r="K2930" s="42">
        <v>21.4</v>
      </c>
      <c r="L2930" s="43"/>
      <c r="M2930" s="43">
        <f>L2930*K2930</f>
        <v>0</v>
      </c>
      <c r="N2930" s="35">
        <v>4607149408078</v>
      </c>
    </row>
    <row r="2931" spans="1:14" ht="36" customHeight="1" outlineLevel="3" x14ac:dyDescent="0.2">
      <c r="A2931" s="45">
        <v>14141</v>
      </c>
      <c r="B2931" s="37" t="str">
        <f>HYPERLINK("http://sedek.ru/upload/iblock/e6f/rudbekiya_marmelad.jpg","фото")</f>
        <v>фото</v>
      </c>
      <c r="C2931" s="38"/>
      <c r="D2931" s="38"/>
      <c r="E2931" s="39"/>
      <c r="F2931" s="39" t="s">
        <v>3600</v>
      </c>
      <c r="G2931" s="44">
        <v>0.1</v>
      </c>
      <c r="H2931" s="39" t="s">
        <v>101</v>
      </c>
      <c r="I2931" s="39" t="s">
        <v>102</v>
      </c>
      <c r="J2931" s="41">
        <v>3000</v>
      </c>
      <c r="K2931" s="42">
        <v>21.4</v>
      </c>
      <c r="L2931" s="43"/>
      <c r="M2931" s="43">
        <f>L2931*K2931</f>
        <v>0</v>
      </c>
      <c r="N2931" s="35">
        <v>4607116266038</v>
      </c>
    </row>
    <row r="2932" spans="1:14" ht="36" customHeight="1" outlineLevel="3" x14ac:dyDescent="0.2">
      <c r="A2932" s="45">
        <v>13944</v>
      </c>
      <c r="B2932" s="37" t="str">
        <f>HYPERLINK("http://sedek.ru/upload/iblock/bf8/rudbekiya_osenniy_les.jpg","фото")</f>
        <v>фото</v>
      </c>
      <c r="C2932" s="38"/>
      <c r="D2932" s="38"/>
      <c r="E2932" s="39"/>
      <c r="F2932" s="39" t="s">
        <v>3601</v>
      </c>
      <c r="G2932" s="44">
        <v>0.3</v>
      </c>
      <c r="H2932" s="39" t="s">
        <v>101</v>
      </c>
      <c r="I2932" s="39" t="s">
        <v>102</v>
      </c>
      <c r="J2932" s="41">
        <v>3000</v>
      </c>
      <c r="K2932" s="42">
        <v>26.8</v>
      </c>
      <c r="L2932" s="43"/>
      <c r="M2932" s="43">
        <f>L2932*K2932</f>
        <v>0</v>
      </c>
      <c r="N2932" s="35">
        <v>4607116266045</v>
      </c>
    </row>
    <row r="2933" spans="1:14" ht="24" customHeight="1" outlineLevel="3" x14ac:dyDescent="0.2">
      <c r="A2933" s="45">
        <v>15413</v>
      </c>
      <c r="B2933" s="37" t="str">
        <f>HYPERLINK("http://sedek.ru/upload/iblock/087/salviya_rozovyy_zamok_khorminovaya.jpg","фото")</f>
        <v>фото</v>
      </c>
      <c r="C2933" s="38"/>
      <c r="D2933" s="38"/>
      <c r="E2933" s="39"/>
      <c r="F2933" s="39" t="s">
        <v>3602</v>
      </c>
      <c r="G2933" s="54">
        <v>0.25</v>
      </c>
      <c r="H2933" s="39" t="s">
        <v>101</v>
      </c>
      <c r="I2933" s="39" t="s">
        <v>102</v>
      </c>
      <c r="J2933" s="41">
        <v>4000</v>
      </c>
      <c r="K2933" s="42">
        <v>23.2</v>
      </c>
      <c r="L2933" s="43"/>
      <c r="M2933" s="43">
        <f>L2933*K2933</f>
        <v>0</v>
      </c>
      <c r="N2933" s="35">
        <v>4607116266069</v>
      </c>
    </row>
    <row r="2934" spans="1:14" ht="24" customHeight="1" outlineLevel="3" x14ac:dyDescent="0.2">
      <c r="A2934" s="46">
        <v>15566</v>
      </c>
      <c r="B2934" s="47" t="str">
        <f>HYPERLINK("http://sedek.ru/upload/iblock/1ed/salviya_skarlet_pikkolo.jpg","фото")</f>
        <v>фото</v>
      </c>
      <c r="C2934" s="48"/>
      <c r="D2934" s="48"/>
      <c r="E2934" s="49"/>
      <c r="F2934" s="49" t="s">
        <v>3603</v>
      </c>
      <c r="G2934" s="56">
        <v>0.1</v>
      </c>
      <c r="H2934" s="49" t="s">
        <v>101</v>
      </c>
      <c r="I2934" s="49" t="s">
        <v>102</v>
      </c>
      <c r="J2934" s="51">
        <v>4000</v>
      </c>
      <c r="K2934" s="52">
        <v>32</v>
      </c>
      <c r="L2934" s="53"/>
      <c r="M2934" s="53">
        <f>L2934*K2934</f>
        <v>0</v>
      </c>
      <c r="N2934" s="35">
        <v>4607116266076</v>
      </c>
    </row>
    <row r="2935" spans="1:14" ht="36" customHeight="1" outlineLevel="3" x14ac:dyDescent="0.2">
      <c r="A2935" s="45">
        <v>15028</v>
      </c>
      <c r="B2935" s="37" t="str">
        <f>HYPERLINK("http://sedek.ru/upload/iblock/e0b/salviya_farao.jpg","фото")</f>
        <v>фото</v>
      </c>
      <c r="C2935" s="38"/>
      <c r="D2935" s="38"/>
      <c r="E2935" s="39"/>
      <c r="F2935" s="39" t="s">
        <v>3604</v>
      </c>
      <c r="G2935" s="54">
        <v>0.05</v>
      </c>
      <c r="H2935" s="39" t="s">
        <v>101</v>
      </c>
      <c r="I2935" s="39" t="s">
        <v>102</v>
      </c>
      <c r="J2935" s="41">
        <v>4000</v>
      </c>
      <c r="K2935" s="42">
        <v>44.7</v>
      </c>
      <c r="L2935" s="43"/>
      <c r="M2935" s="43">
        <f>L2935*K2935</f>
        <v>0</v>
      </c>
      <c r="N2935" s="35">
        <v>4690368019200</v>
      </c>
    </row>
    <row r="2936" spans="1:14" ht="24" customHeight="1" outlineLevel="3" x14ac:dyDescent="0.2">
      <c r="A2936" s="45">
        <v>14441</v>
      </c>
      <c r="B2936" s="37" t="str">
        <f>HYPERLINK("http://sedek.ru/upload/iblock/0b3/salviya_figaro.jpg","фото")</f>
        <v>фото</v>
      </c>
      <c r="C2936" s="38"/>
      <c r="D2936" s="38"/>
      <c r="E2936" s="39"/>
      <c r="F2936" s="39" t="s">
        <v>3605</v>
      </c>
      <c r="G2936" s="54">
        <v>0.25</v>
      </c>
      <c r="H2936" s="39" t="s">
        <v>101</v>
      </c>
      <c r="I2936" s="39" t="s">
        <v>102</v>
      </c>
      <c r="J2936" s="41">
        <v>4000</v>
      </c>
      <c r="K2936" s="42">
        <v>21.4</v>
      </c>
      <c r="L2936" s="43"/>
      <c r="M2936" s="43">
        <f>L2936*K2936</f>
        <v>0</v>
      </c>
      <c r="N2936" s="35">
        <v>4607116266083</v>
      </c>
    </row>
    <row r="2937" spans="1:14" ht="24" customHeight="1" outlineLevel="3" x14ac:dyDescent="0.2">
      <c r="A2937" s="45">
        <v>16099</v>
      </c>
      <c r="B2937" s="37" t="str">
        <f>HYPERLINK("http://sedek.ru/upload/iblock/018/salpiglossis_super_vyemchatyy_smes.jpg","фото")</f>
        <v>фото</v>
      </c>
      <c r="C2937" s="38"/>
      <c r="D2937" s="38"/>
      <c r="E2937" s="39"/>
      <c r="F2937" s="39" t="s">
        <v>3606</v>
      </c>
      <c r="G2937" s="44">
        <v>0.1</v>
      </c>
      <c r="H2937" s="39" t="s">
        <v>101</v>
      </c>
      <c r="I2937" s="39" t="s">
        <v>102</v>
      </c>
      <c r="J2937" s="41">
        <v>3000</v>
      </c>
      <c r="K2937" s="42">
        <v>21.4</v>
      </c>
      <c r="L2937" s="43"/>
      <c r="M2937" s="43">
        <f>L2937*K2937</f>
        <v>0</v>
      </c>
      <c r="N2937" s="35">
        <v>4607116266090</v>
      </c>
    </row>
    <row r="2938" spans="1:14" ht="36" customHeight="1" outlineLevel="3" x14ac:dyDescent="0.2">
      <c r="A2938" s="45">
        <v>15246</v>
      </c>
      <c r="B2938" s="37" t="str">
        <f>HYPERLINK("http://sedek.ru/upload/iblock/89a/sanvitaliya_medovyy_spas_rasprostertaya.jpg","фото")</f>
        <v>фото</v>
      </c>
      <c r="C2938" s="38"/>
      <c r="D2938" s="38"/>
      <c r="E2938" s="39"/>
      <c r="F2938" s="39" t="s">
        <v>3607</v>
      </c>
      <c r="G2938" s="44">
        <v>0.1</v>
      </c>
      <c r="H2938" s="39" t="s">
        <v>101</v>
      </c>
      <c r="I2938" s="39" t="s">
        <v>102</v>
      </c>
      <c r="J2938" s="41">
        <v>3000</v>
      </c>
      <c r="K2938" s="42">
        <v>23.2</v>
      </c>
      <c r="L2938" s="43"/>
      <c r="M2938" s="43">
        <f>L2938*K2938</f>
        <v>0</v>
      </c>
      <c r="N2938" s="35">
        <v>4607149401321</v>
      </c>
    </row>
    <row r="2939" spans="1:14" ht="24" customHeight="1" outlineLevel="3" x14ac:dyDescent="0.2">
      <c r="A2939" s="45">
        <v>14007</v>
      </c>
      <c r="B2939" s="37" t="str">
        <f>HYPERLINK("http://sedek.ru/upload/iblock/2b0/saponariya_kamilla.jpg","фото")</f>
        <v>фото</v>
      </c>
      <c r="C2939" s="38"/>
      <c r="D2939" s="38"/>
      <c r="E2939" s="39"/>
      <c r="F2939" s="39" t="s">
        <v>3608</v>
      </c>
      <c r="G2939" s="44">
        <v>0.5</v>
      </c>
      <c r="H2939" s="39" t="s">
        <v>101</v>
      </c>
      <c r="I2939" s="39" t="s">
        <v>102</v>
      </c>
      <c r="J2939" s="41">
        <v>3000</v>
      </c>
      <c r="K2939" s="42">
        <v>30.7</v>
      </c>
      <c r="L2939" s="43"/>
      <c r="M2939" s="43">
        <f>L2939*K2939</f>
        <v>0</v>
      </c>
      <c r="N2939" s="35">
        <v>4607149400195</v>
      </c>
    </row>
    <row r="2940" spans="1:14" ht="24" customHeight="1" outlineLevel="3" x14ac:dyDescent="0.2">
      <c r="A2940" s="45">
        <v>14894</v>
      </c>
      <c r="B2940" s="37" t="str">
        <f>HYPERLINK("http://sedek.ru/upload/iblock/68a/saflor_moroz_voevoda.jpg","фото")</f>
        <v>фото</v>
      </c>
      <c r="C2940" s="38"/>
      <c r="D2940" s="38"/>
      <c r="E2940" s="39"/>
      <c r="F2940" s="39" t="s">
        <v>3609</v>
      </c>
      <c r="G2940" s="40">
        <v>1</v>
      </c>
      <c r="H2940" s="39" t="s">
        <v>101</v>
      </c>
      <c r="I2940" s="39" t="s">
        <v>102</v>
      </c>
      <c r="J2940" s="41">
        <v>1500</v>
      </c>
      <c r="K2940" s="42">
        <v>30.2</v>
      </c>
      <c r="L2940" s="43"/>
      <c r="M2940" s="43">
        <f>L2940*K2940</f>
        <v>0</v>
      </c>
      <c r="N2940" s="35">
        <v>4607015181210</v>
      </c>
    </row>
    <row r="2941" spans="1:14" ht="36" customHeight="1" outlineLevel="3" x14ac:dyDescent="0.2">
      <c r="A2941" s="45">
        <v>17154</v>
      </c>
      <c r="B2941" s="37" t="str">
        <f>HYPERLINK("http://sedek.ru/upload/iblock/e27/setariya_zimniy_buket_shchetinistaya.jpg","фото")</f>
        <v>фото</v>
      </c>
      <c r="C2941" s="38"/>
      <c r="D2941" s="38"/>
      <c r="E2941" s="39"/>
      <c r="F2941" s="39" t="s">
        <v>3610</v>
      </c>
      <c r="G2941" s="44">
        <v>0.5</v>
      </c>
      <c r="H2941" s="39" t="s">
        <v>101</v>
      </c>
      <c r="I2941" s="39" t="s">
        <v>102</v>
      </c>
      <c r="J2941" s="41">
        <v>3000</v>
      </c>
      <c r="K2941" s="42">
        <v>22.7</v>
      </c>
      <c r="L2941" s="43"/>
      <c r="M2941" s="43">
        <f>L2941*K2941</f>
        <v>0</v>
      </c>
      <c r="N2941" s="35">
        <v>4690368023412</v>
      </c>
    </row>
    <row r="2942" spans="1:14" ht="24" customHeight="1" outlineLevel="3" x14ac:dyDescent="0.2">
      <c r="A2942" s="45">
        <v>16323</v>
      </c>
      <c r="B2942" s="37" t="str">
        <f>HYPERLINK("http://sedek.ru/upload/iblock/16b/sinegolovnik_fanfaron_eringium.jpg","фото")</f>
        <v>фото</v>
      </c>
      <c r="C2942" s="38"/>
      <c r="D2942" s="38"/>
      <c r="E2942" s="39"/>
      <c r="F2942" s="39" t="s">
        <v>3611</v>
      </c>
      <c r="G2942" s="44">
        <v>0.5</v>
      </c>
      <c r="H2942" s="39" t="s">
        <v>101</v>
      </c>
      <c r="I2942" s="39" t="s">
        <v>102</v>
      </c>
      <c r="J2942" s="41">
        <v>1500</v>
      </c>
      <c r="K2942" s="42">
        <v>29.3</v>
      </c>
      <c r="L2942" s="43"/>
      <c r="M2942" s="43">
        <f>L2942*K2942</f>
        <v>0</v>
      </c>
      <c r="N2942" s="35">
        <v>4690368010337</v>
      </c>
    </row>
    <row r="2943" spans="1:14" ht="24" customHeight="1" outlineLevel="3" x14ac:dyDescent="0.2">
      <c r="A2943" s="45">
        <v>16161</v>
      </c>
      <c r="B2943" s="37" t="str">
        <f>HYPERLINK("http://sedek.ru/upload/iblock/da7/skabioza_benefis_smes.jpg","фото")</f>
        <v>фото</v>
      </c>
      <c r="C2943" s="38"/>
      <c r="D2943" s="38"/>
      <c r="E2943" s="39"/>
      <c r="F2943" s="39" t="s">
        <v>3612</v>
      </c>
      <c r="G2943" s="44">
        <v>0.3</v>
      </c>
      <c r="H2943" s="39" t="s">
        <v>101</v>
      </c>
      <c r="I2943" s="39" t="s">
        <v>102</v>
      </c>
      <c r="J2943" s="41">
        <v>4000</v>
      </c>
      <c r="K2943" s="42">
        <v>28.2</v>
      </c>
      <c r="L2943" s="43"/>
      <c r="M2943" s="43">
        <f>L2943*K2943</f>
        <v>0</v>
      </c>
      <c r="N2943" s="35">
        <v>4690368001298</v>
      </c>
    </row>
    <row r="2944" spans="1:14" ht="24" customHeight="1" outlineLevel="3" x14ac:dyDescent="0.2">
      <c r="A2944" s="45">
        <v>15908</v>
      </c>
      <c r="B2944" s="37" t="str">
        <f>HYPERLINK("http://sedek.ru/upload/iblock/584/skabioza_gotika_zvyezdchataya.jpg","фото")</f>
        <v>фото</v>
      </c>
      <c r="C2944" s="38"/>
      <c r="D2944" s="38"/>
      <c r="E2944" s="39"/>
      <c r="F2944" s="39" t="s">
        <v>3613</v>
      </c>
      <c r="G2944" s="40">
        <v>1</v>
      </c>
      <c r="H2944" s="39" t="s">
        <v>101</v>
      </c>
      <c r="I2944" s="39" t="s">
        <v>102</v>
      </c>
      <c r="J2944" s="41">
        <v>4000</v>
      </c>
      <c r="K2944" s="42">
        <v>63.9</v>
      </c>
      <c r="L2944" s="43"/>
      <c r="M2944" s="43">
        <f>L2944*K2944</f>
        <v>0</v>
      </c>
      <c r="N2944" s="35">
        <v>4607149401338</v>
      </c>
    </row>
    <row r="2945" spans="1:14" ht="24" customHeight="1" outlineLevel="3" x14ac:dyDescent="0.2">
      <c r="A2945" s="45">
        <v>17066</v>
      </c>
      <c r="B2945" s="37" t="str">
        <f>HYPERLINK("http://sedek.ru/upload/iblock/dad/skabioza_larisa.jpg","фото")</f>
        <v>фото</v>
      </c>
      <c r="C2945" s="38"/>
      <c r="D2945" s="38"/>
      <c r="E2945" s="39"/>
      <c r="F2945" s="39" t="s">
        <v>3614</v>
      </c>
      <c r="G2945" s="44">
        <v>0.1</v>
      </c>
      <c r="H2945" s="39" t="s">
        <v>101</v>
      </c>
      <c r="I2945" s="39" t="s">
        <v>102</v>
      </c>
      <c r="J2945" s="41">
        <v>4000</v>
      </c>
      <c r="K2945" s="42">
        <v>38.200000000000003</v>
      </c>
      <c r="L2945" s="43"/>
      <c r="M2945" s="43">
        <f>L2945*K2945</f>
        <v>0</v>
      </c>
      <c r="N2945" s="35">
        <v>4690368019217</v>
      </c>
    </row>
    <row r="2946" spans="1:14" ht="36" customHeight="1" outlineLevel="3" x14ac:dyDescent="0.2">
      <c r="A2946" s="45">
        <v>15045</v>
      </c>
      <c r="B2946" s="37" t="str">
        <f>HYPERLINK("http://sedek.ru/upload/iblock/3b9/smolevka_dzhambo.jpg","фото")</f>
        <v>фото</v>
      </c>
      <c r="C2946" s="38"/>
      <c r="D2946" s="38"/>
      <c r="E2946" s="39"/>
      <c r="F2946" s="39" t="s">
        <v>3615</v>
      </c>
      <c r="G2946" s="44">
        <v>0.5</v>
      </c>
      <c r="H2946" s="39" t="s">
        <v>101</v>
      </c>
      <c r="I2946" s="39" t="s">
        <v>102</v>
      </c>
      <c r="J2946" s="41">
        <v>2500</v>
      </c>
      <c r="K2946" s="42">
        <v>28.8</v>
      </c>
      <c r="L2946" s="43"/>
      <c r="M2946" s="43">
        <f>L2946*K2946</f>
        <v>0</v>
      </c>
      <c r="N2946" s="35">
        <v>4690368019385</v>
      </c>
    </row>
    <row r="2947" spans="1:14" ht="36" customHeight="1" outlineLevel="3" x14ac:dyDescent="0.2">
      <c r="A2947" s="45">
        <v>15032</v>
      </c>
      <c r="B2947" s="37" t="str">
        <f>HYPERLINK("http://sedek.ru/upload/iblock/e0d/sparzhevyy_gorokh_saloniki.jpg","фото")</f>
        <v>фото</v>
      </c>
      <c r="C2947" s="38"/>
      <c r="D2947" s="38"/>
      <c r="E2947" s="39"/>
      <c r="F2947" s="39" t="s">
        <v>3616</v>
      </c>
      <c r="G2947" s="44">
        <v>0.5</v>
      </c>
      <c r="H2947" s="39" t="s">
        <v>101</v>
      </c>
      <c r="I2947" s="39" t="s">
        <v>102</v>
      </c>
      <c r="J2947" s="41">
        <v>2000</v>
      </c>
      <c r="K2947" s="42">
        <v>33.1</v>
      </c>
      <c r="L2947" s="43"/>
      <c r="M2947" s="43">
        <f>L2947*K2947</f>
        <v>0</v>
      </c>
      <c r="N2947" s="35">
        <v>4690368019880</v>
      </c>
    </row>
    <row r="2948" spans="1:14" ht="24" customHeight="1" outlineLevel="3" x14ac:dyDescent="0.2">
      <c r="A2948" s="45">
        <v>30972</v>
      </c>
      <c r="B2948" s="37" t="str">
        <f>HYPERLINK("http://www.sedek.ru/upload/iblock/2a1/spilantes_myatnyy_vkus.jpg","фото")</f>
        <v>фото</v>
      </c>
      <c r="C2948" s="38"/>
      <c r="D2948" s="38"/>
      <c r="E2948" s="39"/>
      <c r="F2948" s="39" t="s">
        <v>3617</v>
      </c>
      <c r="G2948" s="54">
        <v>0.05</v>
      </c>
      <c r="H2948" s="39" t="s">
        <v>101</v>
      </c>
      <c r="I2948" s="39" t="s">
        <v>102</v>
      </c>
      <c r="J2948" s="41">
        <v>3000</v>
      </c>
      <c r="K2948" s="42">
        <v>64.7</v>
      </c>
      <c r="L2948" s="43"/>
      <c r="M2948" s="43">
        <f>L2948*K2948</f>
        <v>0</v>
      </c>
      <c r="N2948" s="35">
        <v>4690368031295</v>
      </c>
    </row>
    <row r="2949" spans="1:14" ht="36" customHeight="1" outlineLevel="3" x14ac:dyDescent="0.2">
      <c r="A2949" s="45">
        <v>15089</v>
      </c>
      <c r="B2949" s="37" t="str">
        <f>HYPERLINK("http://sedek.ru/upload/iblock/097/statitse_mertsanie.jpg","фото")</f>
        <v>фото</v>
      </c>
      <c r="C2949" s="38"/>
      <c r="D2949" s="38"/>
      <c r="E2949" s="39"/>
      <c r="F2949" s="39" t="s">
        <v>3618</v>
      </c>
      <c r="G2949" s="44">
        <v>0.2</v>
      </c>
      <c r="H2949" s="39" t="s">
        <v>101</v>
      </c>
      <c r="I2949" s="39" t="s">
        <v>102</v>
      </c>
      <c r="J2949" s="41">
        <v>3500</v>
      </c>
      <c r="K2949" s="42">
        <v>33.86</v>
      </c>
      <c r="L2949" s="43"/>
      <c r="M2949" s="43">
        <f>L2949*K2949</f>
        <v>0</v>
      </c>
      <c r="N2949" s="35">
        <v>4607116266137</v>
      </c>
    </row>
    <row r="2950" spans="1:14" ht="36" customHeight="1" outlineLevel="3" x14ac:dyDescent="0.2">
      <c r="A2950" s="45">
        <v>14499</v>
      </c>
      <c r="B2950" s="37" t="str">
        <f>HYPERLINK("http://sedek.ru/upload/iblock/9d5/stakhis_nezhnost.jpg","фото")</f>
        <v>фото</v>
      </c>
      <c r="C2950" s="38"/>
      <c r="D2950" s="38"/>
      <c r="E2950" s="39"/>
      <c r="F2950" s="39" t="s">
        <v>3619</v>
      </c>
      <c r="G2950" s="44">
        <v>0.1</v>
      </c>
      <c r="H2950" s="39" t="s">
        <v>101</v>
      </c>
      <c r="I2950" s="39" t="s">
        <v>102</v>
      </c>
      <c r="J2950" s="41">
        <v>3000</v>
      </c>
      <c r="K2950" s="42">
        <v>28.2</v>
      </c>
      <c r="L2950" s="43"/>
      <c r="M2950" s="43">
        <f>L2950*K2950</f>
        <v>0</v>
      </c>
      <c r="N2950" s="35">
        <v>4607149401390</v>
      </c>
    </row>
    <row r="2951" spans="1:14" ht="24" customHeight="1" outlineLevel="3" x14ac:dyDescent="0.2">
      <c r="A2951" s="45">
        <v>15030</v>
      </c>
      <c r="B2951" s="37" t="str">
        <f>HYPERLINK("http://sedek.ru/upload/iblock/ea6/skhizantus_motylek.jpg","фото")</f>
        <v>фото</v>
      </c>
      <c r="C2951" s="38"/>
      <c r="D2951" s="38"/>
      <c r="E2951" s="39"/>
      <c r="F2951" s="39" t="s">
        <v>3620</v>
      </c>
      <c r="G2951" s="44">
        <v>0.2</v>
      </c>
      <c r="H2951" s="39" t="s">
        <v>101</v>
      </c>
      <c r="I2951" s="39" t="s">
        <v>102</v>
      </c>
      <c r="J2951" s="41">
        <v>3000</v>
      </c>
      <c r="K2951" s="42">
        <v>24.9</v>
      </c>
      <c r="L2951" s="43"/>
      <c r="M2951" s="43">
        <f>L2951*K2951</f>
        <v>0</v>
      </c>
      <c r="N2951" s="35">
        <v>4690368019231</v>
      </c>
    </row>
    <row r="2952" spans="1:14" ht="24" customHeight="1" outlineLevel="3" x14ac:dyDescent="0.2">
      <c r="A2952" s="45">
        <v>14772</v>
      </c>
      <c r="B2952" s="37" t="str">
        <f>HYPERLINK("http://sedek.ru/upload/iblock/9db/tagetes_apelsinovyy_ray.jpg","фото")</f>
        <v>фото</v>
      </c>
      <c r="C2952" s="38"/>
      <c r="D2952" s="38"/>
      <c r="E2952" s="39"/>
      <c r="F2952" s="39" t="s">
        <v>3621</v>
      </c>
      <c r="G2952" s="44">
        <v>0.2</v>
      </c>
      <c r="H2952" s="39" t="s">
        <v>101</v>
      </c>
      <c r="I2952" s="39" t="s">
        <v>102</v>
      </c>
      <c r="J2952" s="41">
        <v>3500</v>
      </c>
      <c r="K2952" s="42">
        <v>41.1</v>
      </c>
      <c r="L2952" s="43"/>
      <c r="M2952" s="43">
        <f>L2952*K2952</f>
        <v>0</v>
      </c>
      <c r="N2952" s="35">
        <v>4607149401598</v>
      </c>
    </row>
    <row r="2953" spans="1:14" ht="36" customHeight="1" outlineLevel="3" x14ac:dyDescent="0.2">
      <c r="A2953" s="45">
        <v>13712</v>
      </c>
      <c r="B2953" s="37" t="str">
        <f>HYPERLINK("http://sedek.ru/upload/iblock/b7d/tagetes_bonita_nizkoroslyy_smes.jpg","фото")</f>
        <v>фото</v>
      </c>
      <c r="C2953" s="38"/>
      <c r="D2953" s="38"/>
      <c r="E2953" s="39"/>
      <c r="F2953" s="39" t="s">
        <v>3622</v>
      </c>
      <c r="G2953" s="44">
        <v>0.2</v>
      </c>
      <c r="H2953" s="39" t="s">
        <v>101</v>
      </c>
      <c r="I2953" s="39" t="s">
        <v>102</v>
      </c>
      <c r="J2953" s="41">
        <v>3500</v>
      </c>
      <c r="K2953" s="42">
        <v>22.4</v>
      </c>
      <c r="L2953" s="43"/>
      <c r="M2953" s="43">
        <f>L2953*K2953</f>
        <v>0</v>
      </c>
      <c r="N2953" s="35">
        <v>4607116263235</v>
      </c>
    </row>
    <row r="2954" spans="1:14" ht="24" customHeight="1" outlineLevel="3" x14ac:dyDescent="0.2">
      <c r="A2954" s="45">
        <v>16029</v>
      </c>
      <c r="B2954" s="37" t="str">
        <f>HYPERLINK("http://sedek.ru/upload/iblock/036/tagetes_gavayi.jpg","фото")</f>
        <v>фото</v>
      </c>
      <c r="C2954" s="38"/>
      <c r="D2954" s="38"/>
      <c r="E2954" s="39"/>
      <c r="F2954" s="39" t="s">
        <v>3623</v>
      </c>
      <c r="G2954" s="44">
        <v>0.2</v>
      </c>
      <c r="H2954" s="39" t="s">
        <v>101</v>
      </c>
      <c r="I2954" s="39" t="s">
        <v>102</v>
      </c>
      <c r="J2954" s="41">
        <v>3500</v>
      </c>
      <c r="K2954" s="42">
        <v>21.4</v>
      </c>
      <c r="L2954" s="43"/>
      <c r="M2954" s="43">
        <f>L2954*K2954</f>
        <v>0</v>
      </c>
      <c r="N2954" s="35">
        <v>4607116263259</v>
      </c>
    </row>
    <row r="2955" spans="1:14" ht="24" customHeight="1" outlineLevel="3" x14ac:dyDescent="0.2">
      <c r="A2955" s="45">
        <v>13618</v>
      </c>
      <c r="B2955" s="37" t="str">
        <f>HYPERLINK("http://sedek.ru/upload/iblock/df9/tagetes_golden_eydzh.jpg","фото")</f>
        <v>фото</v>
      </c>
      <c r="C2955" s="38"/>
      <c r="D2955" s="38"/>
      <c r="E2955" s="39"/>
      <c r="F2955" s="39" t="s">
        <v>3624</v>
      </c>
      <c r="G2955" s="54">
        <v>0.25</v>
      </c>
      <c r="H2955" s="39" t="s">
        <v>101</v>
      </c>
      <c r="I2955" s="39" t="s">
        <v>102</v>
      </c>
      <c r="J2955" s="41">
        <v>3500</v>
      </c>
      <c r="K2955" s="42">
        <v>24.9</v>
      </c>
      <c r="L2955" s="43"/>
      <c r="M2955" s="43">
        <f>L2955*K2955</f>
        <v>0</v>
      </c>
      <c r="N2955" s="35">
        <v>4607116263266</v>
      </c>
    </row>
    <row r="2956" spans="1:14" ht="24" customHeight="1" outlineLevel="3" x14ac:dyDescent="0.2">
      <c r="A2956" s="46">
        <v>14607</v>
      </c>
      <c r="B2956" s="47" t="str">
        <f>HYPERLINK("http://sedek.ru/upload/iblock/5f6/tagetes_zolotoy_pompon.jpg","фото")</f>
        <v>фото</v>
      </c>
      <c r="C2956" s="48"/>
      <c r="D2956" s="48"/>
      <c r="E2956" s="49"/>
      <c r="F2956" s="49" t="s">
        <v>3625</v>
      </c>
      <c r="G2956" s="56">
        <v>0.2</v>
      </c>
      <c r="H2956" s="49" t="s">
        <v>101</v>
      </c>
      <c r="I2956" s="49" t="s">
        <v>102</v>
      </c>
      <c r="J2956" s="51">
        <v>3500</v>
      </c>
      <c r="K2956" s="52">
        <v>23.7</v>
      </c>
      <c r="L2956" s="53"/>
      <c r="M2956" s="53">
        <f>L2956*K2956</f>
        <v>0</v>
      </c>
      <c r="N2956" s="35">
        <v>4607116263273</v>
      </c>
    </row>
    <row r="2957" spans="1:14" ht="36" customHeight="1" outlineLevel="3" x14ac:dyDescent="0.2">
      <c r="A2957" s="45">
        <v>17158</v>
      </c>
      <c r="B2957" s="37" t="str">
        <f>HYPERLINK("http://sedek.ru/upload/iblock/2b5/tagetes_klaus.jpg","фото")</f>
        <v>фото</v>
      </c>
      <c r="C2957" s="38"/>
      <c r="D2957" s="38"/>
      <c r="E2957" s="39"/>
      <c r="F2957" s="39" t="s">
        <v>3626</v>
      </c>
      <c r="G2957" s="44">
        <v>0.1</v>
      </c>
      <c r="H2957" s="39" t="s">
        <v>101</v>
      </c>
      <c r="I2957" s="39" t="s">
        <v>102</v>
      </c>
      <c r="J2957" s="41">
        <v>3500</v>
      </c>
      <c r="K2957" s="42">
        <v>31.2</v>
      </c>
      <c r="L2957" s="43"/>
      <c r="M2957" s="43">
        <f>L2957*K2957</f>
        <v>0</v>
      </c>
      <c r="N2957" s="35">
        <v>4690368023429</v>
      </c>
    </row>
    <row r="2958" spans="1:14" ht="24" customHeight="1" outlineLevel="3" x14ac:dyDescent="0.2">
      <c r="A2958" s="45">
        <v>13829</v>
      </c>
      <c r="B2958" s="37" t="str">
        <f>HYPERLINK("http://sedek.ru/upload/iblock/62a/tagetes_korrida.jpg","фото")</f>
        <v>фото</v>
      </c>
      <c r="C2958" s="38"/>
      <c r="D2958" s="38"/>
      <c r="E2958" s="39"/>
      <c r="F2958" s="39" t="s">
        <v>3627</v>
      </c>
      <c r="G2958" s="44">
        <v>0.1</v>
      </c>
      <c r="H2958" s="39" t="s">
        <v>101</v>
      </c>
      <c r="I2958" s="39" t="s">
        <v>102</v>
      </c>
      <c r="J2958" s="41">
        <v>3500</v>
      </c>
      <c r="K2958" s="42">
        <v>35.799999999999997</v>
      </c>
      <c r="L2958" s="43"/>
      <c r="M2958" s="43">
        <f>L2958*K2958</f>
        <v>0</v>
      </c>
      <c r="N2958" s="35">
        <v>4607116263280</v>
      </c>
    </row>
    <row r="2959" spans="1:14" ht="24" customHeight="1" outlineLevel="3" x14ac:dyDescent="0.2">
      <c r="A2959" s="46">
        <v>16026</v>
      </c>
      <c r="B2959" s="47" t="str">
        <f>HYPERLINK("http://sedek.ru/upload/iblock/440/tagetes_kruiz.jpg","фото")</f>
        <v>фото</v>
      </c>
      <c r="C2959" s="48"/>
      <c r="D2959" s="48"/>
      <c r="E2959" s="49"/>
      <c r="F2959" s="49" t="s">
        <v>3628</v>
      </c>
      <c r="G2959" s="56">
        <v>0.2</v>
      </c>
      <c r="H2959" s="49" t="s">
        <v>101</v>
      </c>
      <c r="I2959" s="49" t="s">
        <v>102</v>
      </c>
      <c r="J2959" s="51">
        <v>3500</v>
      </c>
      <c r="K2959" s="52">
        <v>20.3</v>
      </c>
      <c r="L2959" s="53"/>
      <c r="M2959" s="53">
        <f>L2959*K2959</f>
        <v>0</v>
      </c>
      <c r="N2959" s="35">
        <v>4607116263303</v>
      </c>
    </row>
    <row r="2960" spans="1:14" ht="36" customHeight="1" outlineLevel="3" x14ac:dyDescent="0.2">
      <c r="A2960" s="45">
        <v>14140</v>
      </c>
      <c r="B2960" s="37" t="str">
        <f>HYPERLINK("http://sedek.ru/upload/iblock/f98/tagetes_legion_of_khonour_barkhattsy.jpg","фото")</f>
        <v>фото</v>
      </c>
      <c r="C2960" s="38"/>
      <c r="D2960" s="38"/>
      <c r="E2960" s="39"/>
      <c r="F2960" s="39" t="s">
        <v>3629</v>
      </c>
      <c r="G2960" s="44">
        <v>0.2</v>
      </c>
      <c r="H2960" s="39" t="s">
        <v>101</v>
      </c>
      <c r="I2960" s="39" t="s">
        <v>102</v>
      </c>
      <c r="J2960" s="41">
        <v>3500</v>
      </c>
      <c r="K2960" s="42">
        <v>21.4</v>
      </c>
      <c r="L2960" s="43"/>
      <c r="M2960" s="43">
        <f>L2960*K2960</f>
        <v>0</v>
      </c>
      <c r="N2960" s="35">
        <v>4607116263310</v>
      </c>
    </row>
    <row r="2961" spans="1:14" ht="24" customHeight="1" outlineLevel="3" x14ac:dyDescent="0.2">
      <c r="A2961" s="45">
        <v>13733</v>
      </c>
      <c r="B2961" s="37" t="str">
        <f>HYPERLINK("http://sedek.ru/upload/iblock/141/tagetes_limonyy_prints.jpg","фото")</f>
        <v>фото</v>
      </c>
      <c r="C2961" s="38"/>
      <c r="D2961" s="38"/>
      <c r="E2961" s="39"/>
      <c r="F2961" s="39" t="s">
        <v>3630</v>
      </c>
      <c r="G2961" s="54">
        <v>0.25</v>
      </c>
      <c r="H2961" s="39" t="s">
        <v>101</v>
      </c>
      <c r="I2961" s="39" t="s">
        <v>102</v>
      </c>
      <c r="J2961" s="41">
        <v>3500</v>
      </c>
      <c r="K2961" s="42">
        <v>21.6</v>
      </c>
      <c r="L2961" s="43"/>
      <c r="M2961" s="43">
        <f>L2961*K2961</f>
        <v>0</v>
      </c>
      <c r="N2961" s="35">
        <v>4607116269930</v>
      </c>
    </row>
    <row r="2962" spans="1:14" ht="24" customHeight="1" outlineLevel="3" x14ac:dyDescent="0.2">
      <c r="A2962" s="45">
        <v>14136</v>
      </c>
      <c r="B2962" s="37" t="str">
        <f>HYPERLINK("http://sedek.ru/upload/iblock/54e/tagetes_lulu.jpg","фото")</f>
        <v>фото</v>
      </c>
      <c r="C2962" s="38"/>
      <c r="D2962" s="38"/>
      <c r="E2962" s="39"/>
      <c r="F2962" s="39" t="s">
        <v>3631</v>
      </c>
      <c r="G2962" s="44">
        <v>0.1</v>
      </c>
      <c r="H2962" s="39" t="s">
        <v>101</v>
      </c>
      <c r="I2962" s="39" t="s">
        <v>102</v>
      </c>
      <c r="J2962" s="41">
        <v>3500</v>
      </c>
      <c r="K2962" s="42">
        <v>25.6</v>
      </c>
      <c r="L2962" s="43"/>
      <c r="M2962" s="43">
        <f>L2962*K2962</f>
        <v>0</v>
      </c>
      <c r="N2962" s="35">
        <v>4607116263327</v>
      </c>
    </row>
    <row r="2963" spans="1:14" ht="36" customHeight="1" outlineLevel="3" x14ac:dyDescent="0.2">
      <c r="A2963" s="45">
        <v>14196</v>
      </c>
      <c r="B2963" s="37" t="str">
        <f>HYPERLINK("http://sedek.ru/upload/iblock/19e/tagetes_malyutka_smes.jpg","фото")</f>
        <v>фото</v>
      </c>
      <c r="C2963" s="38"/>
      <c r="D2963" s="38"/>
      <c r="E2963" s="39"/>
      <c r="F2963" s="39" t="s">
        <v>3632</v>
      </c>
      <c r="G2963" s="44">
        <v>0.1</v>
      </c>
      <c r="H2963" s="39" t="s">
        <v>101</v>
      </c>
      <c r="I2963" s="39" t="s">
        <v>102</v>
      </c>
      <c r="J2963" s="41">
        <v>3500</v>
      </c>
      <c r="K2963" s="42">
        <v>23.5</v>
      </c>
      <c r="L2963" s="43"/>
      <c r="M2963" s="43">
        <f>L2963*K2963</f>
        <v>0</v>
      </c>
      <c r="N2963" s="35">
        <v>4607149408115</v>
      </c>
    </row>
    <row r="2964" spans="1:14" ht="24" customHeight="1" outlineLevel="3" x14ac:dyDescent="0.2">
      <c r="A2964" s="45">
        <v>16214</v>
      </c>
      <c r="B2964" s="37" t="str">
        <f>HYPERLINK("http://sedek.ru/upload/iblock/4b5/tagetes_mari_khelen.jpg","фото")</f>
        <v>фото</v>
      </c>
      <c r="C2964" s="38"/>
      <c r="D2964" s="38"/>
      <c r="E2964" s="39"/>
      <c r="F2964" s="39" t="s">
        <v>3633</v>
      </c>
      <c r="G2964" s="54">
        <v>0.25</v>
      </c>
      <c r="H2964" s="39" t="s">
        <v>101</v>
      </c>
      <c r="I2964" s="39" t="s">
        <v>102</v>
      </c>
      <c r="J2964" s="41">
        <v>3500</v>
      </c>
      <c r="K2964" s="42">
        <v>21.4</v>
      </c>
      <c r="L2964" s="43"/>
      <c r="M2964" s="43">
        <f>L2964*K2964</f>
        <v>0</v>
      </c>
      <c r="N2964" s="35">
        <v>4607116263334</v>
      </c>
    </row>
    <row r="2965" spans="1:14" ht="36" customHeight="1" outlineLevel="3" x14ac:dyDescent="0.2">
      <c r="A2965" s="45">
        <v>16082</v>
      </c>
      <c r="B2965" s="37" t="str">
        <f>HYPERLINK("http://sedek.ru/upload/iblock/ec2/tagetes_myuzik_kholl.jpg","фото")</f>
        <v>фото</v>
      </c>
      <c r="C2965" s="38"/>
      <c r="D2965" s="38"/>
      <c r="E2965" s="39"/>
      <c r="F2965" s="39" t="s">
        <v>3634</v>
      </c>
      <c r="G2965" s="44">
        <v>0.1</v>
      </c>
      <c r="H2965" s="39" t="s">
        <v>101</v>
      </c>
      <c r="I2965" s="39" t="s">
        <v>102</v>
      </c>
      <c r="J2965" s="41">
        <v>3500</v>
      </c>
      <c r="K2965" s="42">
        <v>21.4</v>
      </c>
      <c r="L2965" s="43"/>
      <c r="M2965" s="43">
        <f>L2965*K2965</f>
        <v>0</v>
      </c>
      <c r="N2965" s="35">
        <v>4607149408092</v>
      </c>
    </row>
    <row r="2966" spans="1:14" ht="24" customHeight="1" outlineLevel="3" x14ac:dyDescent="0.2">
      <c r="A2966" s="46">
        <v>15370</v>
      </c>
      <c r="B2966" s="47" t="str">
        <f>HYPERLINK("http://www.sedek.ru/upload/iblock/e46/tagetes_ognivo_otklonennyy_nizkoroslyy_krasno_korichnevyy.jpg","фото")</f>
        <v>фото</v>
      </c>
      <c r="C2966" s="48"/>
      <c r="D2966" s="48"/>
      <c r="E2966" s="49"/>
      <c r="F2966" s="49" t="s">
        <v>3635</v>
      </c>
      <c r="G2966" s="56">
        <v>0.1</v>
      </c>
      <c r="H2966" s="49"/>
      <c r="I2966" s="49" t="s">
        <v>102</v>
      </c>
      <c r="J2966" s="51">
        <v>3500</v>
      </c>
      <c r="K2966" s="52">
        <v>20.3</v>
      </c>
      <c r="L2966" s="53"/>
      <c r="M2966" s="53">
        <f>L2966*K2966</f>
        <v>0</v>
      </c>
      <c r="N2966" s="33" t="s">
        <v>1799</v>
      </c>
    </row>
    <row r="2967" spans="1:14" ht="36" customHeight="1" outlineLevel="3" x14ac:dyDescent="0.2">
      <c r="A2967" s="45">
        <v>15700</v>
      </c>
      <c r="B2967" s="37" t="str">
        <f>HYPERLINK("http://www.sedek.ru/upload/iblock/010/tagetes_polosatoe_chudo_otklonennyy_zolotisto_korichnevyy_.jpg","Фото")</f>
        <v>Фото</v>
      </c>
      <c r="C2967" s="38"/>
      <c r="D2967" s="38"/>
      <c r="E2967" s="39"/>
      <c r="F2967" s="39" t="s">
        <v>3636</v>
      </c>
      <c r="G2967" s="44">
        <v>0.1</v>
      </c>
      <c r="H2967" s="39" t="s">
        <v>101</v>
      </c>
      <c r="I2967" s="39" t="s">
        <v>102</v>
      </c>
      <c r="J2967" s="41">
        <v>3500</v>
      </c>
      <c r="K2967" s="42">
        <v>21.4</v>
      </c>
      <c r="L2967" s="43"/>
      <c r="M2967" s="43">
        <f>L2967*K2967</f>
        <v>0</v>
      </c>
      <c r="N2967" s="35">
        <v>4607149401406</v>
      </c>
    </row>
    <row r="2968" spans="1:14" ht="36" customHeight="1" outlineLevel="3" x14ac:dyDescent="0.2">
      <c r="A2968" s="45">
        <v>13502</v>
      </c>
      <c r="B2968" s="37" t="str">
        <f>HYPERLINK("http://sedek.ru/upload/iblock/bdc/tagetes_sivka_burka.jpg","фото")</f>
        <v>фото</v>
      </c>
      <c r="C2968" s="38"/>
      <c r="D2968" s="38"/>
      <c r="E2968" s="39"/>
      <c r="F2968" s="39" t="s">
        <v>3637</v>
      </c>
      <c r="G2968" s="44">
        <v>0.2</v>
      </c>
      <c r="H2968" s="39" t="s">
        <v>101</v>
      </c>
      <c r="I2968" s="39" t="s">
        <v>102</v>
      </c>
      <c r="J2968" s="41">
        <v>3500</v>
      </c>
      <c r="K2968" s="42">
        <v>22.6</v>
      </c>
      <c r="L2968" s="43"/>
      <c r="M2968" s="43">
        <f>L2968*K2968</f>
        <v>0</v>
      </c>
      <c r="N2968" s="35">
        <v>4607116263358</v>
      </c>
    </row>
    <row r="2969" spans="1:14" ht="36" customHeight="1" outlineLevel="3" x14ac:dyDescent="0.2">
      <c r="A2969" s="45">
        <v>15183</v>
      </c>
      <c r="B2969" s="37" t="str">
        <f>HYPERLINK("http://sedek.ru/upload/iblock/286/tagetes_spektr_pryamostoyachiy.jpg","фото")</f>
        <v>фото</v>
      </c>
      <c r="C2969" s="38"/>
      <c r="D2969" s="38"/>
      <c r="E2969" s="39"/>
      <c r="F2969" s="39" t="s">
        <v>3638</v>
      </c>
      <c r="G2969" s="54">
        <v>0.25</v>
      </c>
      <c r="H2969" s="39" t="s">
        <v>101</v>
      </c>
      <c r="I2969" s="39" t="s">
        <v>102</v>
      </c>
      <c r="J2969" s="41">
        <v>3500</v>
      </c>
      <c r="K2969" s="42">
        <v>21.4</v>
      </c>
      <c r="L2969" s="43"/>
      <c r="M2969" s="43">
        <f>L2969*K2969</f>
        <v>0</v>
      </c>
      <c r="N2969" s="35">
        <v>4607116263365</v>
      </c>
    </row>
    <row r="2970" spans="1:14" ht="36" customHeight="1" outlineLevel="3" x14ac:dyDescent="0.2">
      <c r="A2970" s="45">
        <v>15507</v>
      </c>
      <c r="B2970" s="37" t="str">
        <f>HYPERLINK("http://sedek.ru/upload/iblock/c86/tagetes_tigrovyy_glaz.jpg","фото")</f>
        <v>фото</v>
      </c>
      <c r="C2970" s="38"/>
      <c r="D2970" s="38"/>
      <c r="E2970" s="39"/>
      <c r="F2970" s="39" t="s">
        <v>3639</v>
      </c>
      <c r="G2970" s="44">
        <v>0.1</v>
      </c>
      <c r="H2970" s="39" t="s">
        <v>101</v>
      </c>
      <c r="I2970" s="39" t="s">
        <v>102</v>
      </c>
      <c r="J2970" s="41">
        <v>3500</v>
      </c>
      <c r="K2970" s="42">
        <v>23.5</v>
      </c>
      <c r="L2970" s="43"/>
      <c r="M2970" s="43">
        <f>L2970*K2970</f>
        <v>0</v>
      </c>
      <c r="N2970" s="35">
        <v>4607149408108</v>
      </c>
    </row>
    <row r="2971" spans="1:14" ht="36" customHeight="1" outlineLevel="3" x14ac:dyDescent="0.2">
      <c r="A2971" s="45">
        <v>17156</v>
      </c>
      <c r="B2971" s="37" t="str">
        <f>HYPERLINK("http://sedek.ru/upload/iblock/dc8/tagetes_ursula.jpg","фото")</f>
        <v>фото</v>
      </c>
      <c r="C2971" s="38"/>
      <c r="D2971" s="38"/>
      <c r="E2971" s="39"/>
      <c r="F2971" s="39" t="s">
        <v>3640</v>
      </c>
      <c r="G2971" s="44">
        <v>0.1</v>
      </c>
      <c r="H2971" s="39" t="s">
        <v>101</v>
      </c>
      <c r="I2971" s="39" t="s">
        <v>102</v>
      </c>
      <c r="J2971" s="41">
        <v>3500</v>
      </c>
      <c r="K2971" s="42">
        <v>24.9</v>
      </c>
      <c r="L2971" s="43"/>
      <c r="M2971" s="43">
        <f>L2971*K2971</f>
        <v>0</v>
      </c>
      <c r="N2971" s="35">
        <v>4690368023245</v>
      </c>
    </row>
    <row r="2972" spans="1:14" ht="24" customHeight="1" outlineLevel="3" x14ac:dyDescent="0.2">
      <c r="A2972" s="45">
        <v>17055</v>
      </c>
      <c r="B2972" s="37" t="str">
        <f>HYPERLINK("http://www.sedek.ru/upload/iblock/871/tagetes_sheykh_pryamostoyachiy_khrizantemovidnyy_temno_oranzhevyy.jpg","Фото")</f>
        <v>Фото</v>
      </c>
      <c r="C2972" s="38"/>
      <c r="D2972" s="38"/>
      <c r="E2972" s="39"/>
      <c r="F2972" s="39" t="s">
        <v>3641</v>
      </c>
      <c r="G2972" s="44">
        <v>0.1</v>
      </c>
      <c r="H2972" s="39" t="s">
        <v>101</v>
      </c>
      <c r="I2972" s="39" t="s">
        <v>102</v>
      </c>
      <c r="J2972" s="41">
        <v>3500</v>
      </c>
      <c r="K2972" s="42">
        <v>28.2</v>
      </c>
      <c r="L2972" s="43"/>
      <c r="M2972" s="43">
        <f>L2972*K2972</f>
        <v>0</v>
      </c>
      <c r="N2972" s="35">
        <v>4607149401994</v>
      </c>
    </row>
    <row r="2973" spans="1:14" ht="24" customHeight="1" outlineLevel="3" x14ac:dyDescent="0.2">
      <c r="A2973" s="45">
        <v>15302</v>
      </c>
      <c r="B2973" s="37" t="str">
        <f>HYPERLINK("http://sedek.ru/upload/iblock/5a0/tagetes_yantarnyy_ostrov.jpg","фото")</f>
        <v>фото</v>
      </c>
      <c r="C2973" s="38"/>
      <c r="D2973" s="38"/>
      <c r="E2973" s="39"/>
      <c r="F2973" s="39" t="s">
        <v>3642</v>
      </c>
      <c r="G2973" s="44">
        <v>0.1</v>
      </c>
      <c r="H2973" s="39" t="s">
        <v>101</v>
      </c>
      <c r="I2973" s="39" t="s">
        <v>102</v>
      </c>
      <c r="J2973" s="41">
        <v>3500</v>
      </c>
      <c r="K2973" s="42">
        <v>28.2</v>
      </c>
      <c r="L2973" s="43"/>
      <c r="M2973" s="43">
        <f>L2973*K2973</f>
        <v>0</v>
      </c>
      <c r="N2973" s="35">
        <v>4607116263372</v>
      </c>
    </row>
    <row r="2974" spans="1:14" ht="24" customHeight="1" outlineLevel="3" x14ac:dyDescent="0.2">
      <c r="A2974" s="45">
        <v>15765</v>
      </c>
      <c r="B2974" s="37" t="str">
        <f>HYPERLINK("http://sedek.ru/upload/iblock/160/timyan_chabrets_kolkhida.jpg","фото")</f>
        <v>фото</v>
      </c>
      <c r="C2974" s="38"/>
      <c r="D2974" s="38"/>
      <c r="E2974" s="39"/>
      <c r="F2974" s="39" t="s">
        <v>3643</v>
      </c>
      <c r="G2974" s="54">
        <v>0.05</v>
      </c>
      <c r="H2974" s="39" t="s">
        <v>101</v>
      </c>
      <c r="I2974" s="39" t="s">
        <v>102</v>
      </c>
      <c r="J2974" s="41">
        <v>4000</v>
      </c>
      <c r="K2974" s="42">
        <v>24.9</v>
      </c>
      <c r="L2974" s="43"/>
      <c r="M2974" s="43">
        <f>L2974*K2974</f>
        <v>0</v>
      </c>
      <c r="N2974" s="35">
        <v>4607116267660</v>
      </c>
    </row>
    <row r="2975" spans="1:14" ht="24" customHeight="1" outlineLevel="3" x14ac:dyDescent="0.2">
      <c r="A2975" s="45">
        <v>15033</v>
      </c>
      <c r="B2975" s="37" t="str">
        <f>HYPERLINK("http://sedek.ru/upload/iblock/1d8/titoniya_iliada.jpg","фото")</f>
        <v>фото</v>
      </c>
      <c r="C2975" s="38"/>
      <c r="D2975" s="38"/>
      <c r="E2975" s="39"/>
      <c r="F2975" s="39" t="s">
        <v>3644</v>
      </c>
      <c r="G2975" s="44">
        <v>0.5</v>
      </c>
      <c r="H2975" s="39" t="s">
        <v>101</v>
      </c>
      <c r="I2975" s="39" t="s">
        <v>102</v>
      </c>
      <c r="J2975" s="41">
        <v>4000</v>
      </c>
      <c r="K2975" s="42">
        <v>24.9</v>
      </c>
      <c r="L2975" s="43"/>
      <c r="M2975" s="43">
        <f>L2975*K2975</f>
        <v>0</v>
      </c>
      <c r="N2975" s="35">
        <v>4690368019262</v>
      </c>
    </row>
    <row r="2976" spans="1:14" ht="36" customHeight="1" outlineLevel="3" x14ac:dyDescent="0.2">
      <c r="A2976" s="45">
        <v>15035</v>
      </c>
      <c r="B2976" s="37" t="str">
        <f>HYPERLINK("http://sedek.ru/upload/iblock/d58/tolpis_tryn_trava.jpg","фото")</f>
        <v>фото</v>
      </c>
      <c r="C2976" s="38"/>
      <c r="D2976" s="38"/>
      <c r="E2976" s="39"/>
      <c r="F2976" s="39" t="s">
        <v>3645</v>
      </c>
      <c r="G2976" s="44">
        <v>0.1</v>
      </c>
      <c r="H2976" s="39" t="s">
        <v>101</v>
      </c>
      <c r="I2976" s="39" t="s">
        <v>102</v>
      </c>
      <c r="J2976" s="41">
        <v>3000</v>
      </c>
      <c r="K2976" s="42">
        <v>24.9</v>
      </c>
      <c r="L2976" s="43"/>
      <c r="M2976" s="43">
        <f>L2976*K2976</f>
        <v>0</v>
      </c>
      <c r="N2976" s="35">
        <v>4690368019286</v>
      </c>
    </row>
    <row r="2977" spans="1:14" ht="36" customHeight="1" outlineLevel="3" x14ac:dyDescent="0.2">
      <c r="A2977" s="45">
        <v>14264</v>
      </c>
      <c r="B2977" s="37" t="str">
        <f>HYPERLINK("http://sedek.ru/upload/iblock/222/tunbergiya_ekspress_krylataya_smes.jpg","фото")</f>
        <v>фото</v>
      </c>
      <c r="C2977" s="38"/>
      <c r="D2977" s="38"/>
      <c r="E2977" s="39"/>
      <c r="F2977" s="39" t="s">
        <v>3646</v>
      </c>
      <c r="G2977" s="40">
        <v>1</v>
      </c>
      <c r="H2977" s="39" t="s">
        <v>101</v>
      </c>
      <c r="I2977" s="39" t="s">
        <v>102</v>
      </c>
      <c r="J2977" s="41">
        <v>2000</v>
      </c>
      <c r="K2977" s="42">
        <v>55</v>
      </c>
      <c r="L2977" s="43"/>
      <c r="M2977" s="43">
        <f>L2977*K2977</f>
        <v>0</v>
      </c>
      <c r="N2977" s="35">
        <v>4607116266151</v>
      </c>
    </row>
    <row r="2978" spans="1:14" ht="24" customHeight="1" outlineLevel="3" x14ac:dyDescent="0.2">
      <c r="A2978" s="45">
        <v>15094</v>
      </c>
      <c r="B2978" s="37" t="str">
        <f>HYPERLINK("http://www.sedek.ru/upload/iblock/7f7/fatseliya_dyuymovochka.JPG","фото")</f>
        <v>фото</v>
      </c>
      <c r="C2978" s="38"/>
      <c r="D2978" s="38"/>
      <c r="E2978" s="39"/>
      <c r="F2978" s="39" t="s">
        <v>3647</v>
      </c>
      <c r="G2978" s="44">
        <v>0.5</v>
      </c>
      <c r="H2978" s="39" t="s">
        <v>101</v>
      </c>
      <c r="I2978" s="39" t="s">
        <v>102</v>
      </c>
      <c r="J2978" s="41">
        <v>3000</v>
      </c>
      <c r="K2978" s="42">
        <v>37.54</v>
      </c>
      <c r="L2978" s="43"/>
      <c r="M2978" s="43">
        <f>L2978*K2978</f>
        <v>0</v>
      </c>
      <c r="N2978" s="35">
        <v>4607116266205</v>
      </c>
    </row>
    <row r="2979" spans="1:14" ht="24" customHeight="1" outlineLevel="3" x14ac:dyDescent="0.2">
      <c r="A2979" s="45">
        <v>15016</v>
      </c>
      <c r="B2979" s="37" t="str">
        <f>HYPERLINK("http://sedek.ru/upload/iblock/83c/fatseliya_sirenevaya_dymka.jpg","фото")</f>
        <v>фото</v>
      </c>
      <c r="C2979" s="38"/>
      <c r="D2979" s="38"/>
      <c r="E2979" s="39"/>
      <c r="F2979" s="39" t="s">
        <v>3648</v>
      </c>
      <c r="G2979" s="44">
        <v>0.5</v>
      </c>
      <c r="H2979" s="39" t="s">
        <v>101</v>
      </c>
      <c r="I2979" s="39" t="s">
        <v>102</v>
      </c>
      <c r="J2979" s="41">
        <v>3000</v>
      </c>
      <c r="K2979" s="42">
        <v>24.9</v>
      </c>
      <c r="L2979" s="43"/>
      <c r="M2979" s="43">
        <f>L2979*K2979</f>
        <v>0</v>
      </c>
      <c r="N2979" s="35">
        <v>4690368019071</v>
      </c>
    </row>
    <row r="2980" spans="1:14" ht="24" customHeight="1" outlineLevel="3" x14ac:dyDescent="0.2">
      <c r="A2980" s="45">
        <v>15043</v>
      </c>
      <c r="B2980" s="37" t="str">
        <f>HYPERLINK("http://sedek.ru/upload/iblock/a85/fialka_anatoliya.jpg","фото")</f>
        <v>фото</v>
      </c>
      <c r="C2980" s="38"/>
      <c r="D2980" s="38"/>
      <c r="E2980" s="39"/>
      <c r="F2980" s="39" t="s">
        <v>3649</v>
      </c>
      <c r="G2980" s="54">
        <v>0.05</v>
      </c>
      <c r="H2980" s="39" t="s">
        <v>101</v>
      </c>
      <c r="I2980" s="39" t="s">
        <v>102</v>
      </c>
      <c r="J2980" s="41">
        <v>4000</v>
      </c>
      <c r="K2980" s="42">
        <v>24.9</v>
      </c>
      <c r="L2980" s="43"/>
      <c r="M2980" s="43">
        <f>L2980*K2980</f>
        <v>0</v>
      </c>
      <c r="N2980" s="35">
        <v>4690368019361</v>
      </c>
    </row>
    <row r="2981" spans="1:14" ht="24" customHeight="1" outlineLevel="3" x14ac:dyDescent="0.2">
      <c r="A2981" s="45">
        <v>15347</v>
      </c>
      <c r="B2981" s="37" t="str">
        <f>HYPERLINK("http://www.sedek.ru/upload/iblock/ba9/fialka_baltiyskiy_bereg.jpg","фото")</f>
        <v>фото</v>
      </c>
      <c r="C2981" s="38"/>
      <c r="D2981" s="38"/>
      <c r="E2981" s="39"/>
      <c r="F2981" s="39" t="s">
        <v>3650</v>
      </c>
      <c r="G2981" s="40">
        <v>5</v>
      </c>
      <c r="H2981" s="39" t="s">
        <v>307</v>
      </c>
      <c r="I2981" s="39" t="s">
        <v>102</v>
      </c>
      <c r="J2981" s="41">
        <v>4000</v>
      </c>
      <c r="K2981" s="42">
        <v>55.7</v>
      </c>
      <c r="L2981" s="43"/>
      <c r="M2981" s="43">
        <f>L2981*K2981</f>
        <v>0</v>
      </c>
      <c r="N2981" s="35">
        <v>4607149404025</v>
      </c>
    </row>
    <row r="2982" spans="1:14" ht="24" customHeight="1" outlineLevel="3" x14ac:dyDescent="0.2">
      <c r="A2982" s="45">
        <v>15541</v>
      </c>
      <c r="B2982" s="37" t="str">
        <f>HYPERLINK("http://sedek.ru/upload/iblock/a75/fialka_barkhatnyy_kover_shveytsarskiy_gigant_smes.jpg","фото")</f>
        <v>фото</v>
      </c>
      <c r="C2982" s="38"/>
      <c r="D2982" s="38"/>
      <c r="E2982" s="39"/>
      <c r="F2982" s="39" t="s">
        <v>3651</v>
      </c>
      <c r="G2982" s="54">
        <v>0.05</v>
      </c>
      <c r="H2982" s="39" t="s">
        <v>101</v>
      </c>
      <c r="I2982" s="39" t="s">
        <v>102</v>
      </c>
      <c r="J2982" s="41">
        <v>4000</v>
      </c>
      <c r="K2982" s="42">
        <v>24.9</v>
      </c>
      <c r="L2982" s="43"/>
      <c r="M2982" s="43">
        <f>L2982*K2982</f>
        <v>0</v>
      </c>
      <c r="N2982" s="35">
        <v>4607116266229</v>
      </c>
    </row>
    <row r="2983" spans="1:14" ht="36" customHeight="1" outlineLevel="3" x14ac:dyDescent="0.2">
      <c r="A2983" s="45">
        <v>13832</v>
      </c>
      <c r="B2983" s="37" t="str">
        <f>HYPERLINK("http://sedek.ru/upload/iblock/ce7/fialka_voskhod_solntsa_shveytsarskiy_gigant.jpg","фото")</f>
        <v>фото</v>
      </c>
      <c r="C2983" s="38"/>
      <c r="D2983" s="38"/>
      <c r="E2983" s="39"/>
      <c r="F2983" s="39" t="s">
        <v>3652</v>
      </c>
      <c r="G2983" s="54">
        <v>0.05</v>
      </c>
      <c r="H2983" s="39" t="s">
        <v>101</v>
      </c>
      <c r="I2983" s="39" t="s">
        <v>102</v>
      </c>
      <c r="J2983" s="41">
        <v>4000</v>
      </c>
      <c r="K2983" s="42">
        <v>21.4</v>
      </c>
      <c r="L2983" s="43"/>
      <c r="M2983" s="43">
        <f>L2983*K2983</f>
        <v>0</v>
      </c>
      <c r="N2983" s="35">
        <v>4607116266236</v>
      </c>
    </row>
    <row r="2984" spans="1:14" ht="36" customHeight="1" outlineLevel="3" x14ac:dyDescent="0.2">
      <c r="A2984" s="45">
        <v>15921</v>
      </c>
      <c r="B2984" s="37" t="str">
        <f>HYPERLINK("http://sedek.ru/upload/iblock/dbb/fialka_gornaya_vershina_shveytsarskiy_gigant.jpg","фото")</f>
        <v>фото</v>
      </c>
      <c r="C2984" s="38"/>
      <c r="D2984" s="38"/>
      <c r="E2984" s="39"/>
      <c r="F2984" s="39" t="s">
        <v>3653</v>
      </c>
      <c r="G2984" s="54">
        <v>0.05</v>
      </c>
      <c r="H2984" s="39" t="s">
        <v>101</v>
      </c>
      <c r="I2984" s="39" t="s">
        <v>102</v>
      </c>
      <c r="J2984" s="41">
        <v>4000</v>
      </c>
      <c r="K2984" s="42">
        <v>24.9</v>
      </c>
      <c r="L2984" s="43"/>
      <c r="M2984" s="43">
        <f>L2984*K2984</f>
        <v>0</v>
      </c>
      <c r="N2984" s="35">
        <v>4607116266243</v>
      </c>
    </row>
    <row r="2985" spans="1:14" ht="36" customHeight="1" outlineLevel="3" x14ac:dyDescent="0.2">
      <c r="A2985" s="45">
        <v>15215</v>
      </c>
      <c r="B2985" s="37" t="str">
        <f>HYPERLINK("http://www.sedek.ru/upload/iblock/584/fialka_drakosha_vid_vitrokka_zheltaya_s_krasnymi_krylyami.jpg","Фото")</f>
        <v>Фото</v>
      </c>
      <c r="C2985" s="38"/>
      <c r="D2985" s="38"/>
      <c r="E2985" s="39"/>
      <c r="F2985" s="39" t="s">
        <v>3654</v>
      </c>
      <c r="G2985" s="54">
        <v>0.05</v>
      </c>
      <c r="H2985" s="39" t="s">
        <v>101</v>
      </c>
      <c r="I2985" s="39" t="s">
        <v>102</v>
      </c>
      <c r="J2985" s="41">
        <v>4000</v>
      </c>
      <c r="K2985" s="42">
        <v>21.4</v>
      </c>
      <c r="L2985" s="43"/>
      <c r="M2985" s="43">
        <f>L2985*K2985</f>
        <v>0</v>
      </c>
      <c r="N2985" s="35">
        <v>4607116266250</v>
      </c>
    </row>
    <row r="2986" spans="1:14" ht="36" customHeight="1" outlineLevel="3" x14ac:dyDescent="0.2">
      <c r="A2986" s="45">
        <v>14735</v>
      </c>
      <c r="B2986" s="37" t="str">
        <f>HYPERLINK("http://sedek.ru/upload/iblock/e66/fialka_klaret_shveytsarskiy_gigant.jpg","фото")</f>
        <v>фото</v>
      </c>
      <c r="C2986" s="38"/>
      <c r="D2986" s="38"/>
      <c r="E2986" s="39"/>
      <c r="F2986" s="39" t="s">
        <v>3655</v>
      </c>
      <c r="G2986" s="54">
        <v>0.05</v>
      </c>
      <c r="H2986" s="39" t="s">
        <v>101</v>
      </c>
      <c r="I2986" s="39" t="s">
        <v>102</v>
      </c>
      <c r="J2986" s="41">
        <v>4000</v>
      </c>
      <c r="K2986" s="42">
        <v>24.9</v>
      </c>
      <c r="L2986" s="43"/>
      <c r="M2986" s="43">
        <f>L2986*K2986</f>
        <v>0</v>
      </c>
      <c r="N2986" s="35">
        <v>4607116266274</v>
      </c>
    </row>
    <row r="2987" spans="1:14" ht="36" customHeight="1" outlineLevel="3" x14ac:dyDescent="0.2">
      <c r="A2987" s="45">
        <v>14334</v>
      </c>
      <c r="B2987" s="37" t="str">
        <f>HYPERLINK("http://www.sedek.ru/upload/iblock/6a4/fialka_konfetti.jpg","Фото")</f>
        <v>Фото</v>
      </c>
      <c r="C2987" s="38"/>
      <c r="D2987" s="38"/>
      <c r="E2987" s="39"/>
      <c r="F2987" s="39" t="s">
        <v>3656</v>
      </c>
      <c r="G2987" s="54">
        <v>0.01</v>
      </c>
      <c r="H2987" s="39" t="s">
        <v>101</v>
      </c>
      <c r="I2987" s="39" t="s">
        <v>102</v>
      </c>
      <c r="J2987" s="41">
        <v>4000</v>
      </c>
      <c r="K2987" s="42">
        <v>47.5</v>
      </c>
      <c r="L2987" s="43"/>
      <c r="M2987" s="43">
        <f>L2987*K2987</f>
        <v>0</v>
      </c>
      <c r="N2987" s="35">
        <v>4607149404421</v>
      </c>
    </row>
    <row r="2988" spans="1:14" ht="12" customHeight="1" outlineLevel="3" x14ac:dyDescent="0.2">
      <c r="A2988" s="45">
        <v>16107</v>
      </c>
      <c r="B2988" s="37" t="str">
        <f>HYPERLINK("http://sedek.ru/upload/iblock/ff0/tsvetok_fialka_korinka_f1_rogataya.jpg","фото")</f>
        <v>фото</v>
      </c>
      <c r="C2988" s="38"/>
      <c r="D2988" s="38"/>
      <c r="E2988" s="39"/>
      <c r="F2988" s="39" t="s">
        <v>3657</v>
      </c>
      <c r="G2988" s="40">
        <v>10</v>
      </c>
      <c r="H2988" s="39" t="s">
        <v>307</v>
      </c>
      <c r="I2988" s="39" t="s">
        <v>102</v>
      </c>
      <c r="J2988" s="41">
        <v>4000</v>
      </c>
      <c r="K2988" s="42">
        <v>46.5</v>
      </c>
      <c r="L2988" s="43"/>
      <c r="M2988" s="43">
        <f>L2988*K2988</f>
        <v>0</v>
      </c>
      <c r="N2988" s="35">
        <v>4607149404032</v>
      </c>
    </row>
    <row r="2989" spans="1:14" ht="36" customHeight="1" outlineLevel="3" x14ac:dyDescent="0.2">
      <c r="A2989" s="45">
        <v>14257</v>
      </c>
      <c r="B2989" s="37" t="str">
        <f>HYPERLINK("http://sedek.ru/upload/iblock/231/fialka_laura_shveytsarskiy_gigant.jpg","фото")</f>
        <v>фото</v>
      </c>
      <c r="C2989" s="38"/>
      <c r="D2989" s="38"/>
      <c r="E2989" s="39"/>
      <c r="F2989" s="39" t="s">
        <v>3658</v>
      </c>
      <c r="G2989" s="54">
        <v>0.05</v>
      </c>
      <c r="H2989" s="39" t="s">
        <v>101</v>
      </c>
      <c r="I2989" s="39" t="s">
        <v>102</v>
      </c>
      <c r="J2989" s="41">
        <v>4000</v>
      </c>
      <c r="K2989" s="42">
        <v>21.4</v>
      </c>
      <c r="L2989" s="43"/>
      <c r="M2989" s="43">
        <f>L2989*K2989</f>
        <v>0</v>
      </c>
      <c r="N2989" s="35">
        <v>4607116266281</v>
      </c>
    </row>
    <row r="2990" spans="1:14" ht="36" customHeight="1" outlineLevel="3" x14ac:dyDescent="0.2">
      <c r="A2990" s="45">
        <v>14126</v>
      </c>
      <c r="B2990" s="37" t="str">
        <f>HYPERLINK("http://sedek.ru/upload/iblock/ebb/fialka_rokoko.jpg","фото")</f>
        <v>фото</v>
      </c>
      <c r="C2990" s="38"/>
      <c r="D2990" s="38"/>
      <c r="E2990" s="39"/>
      <c r="F2990" s="39" t="s">
        <v>3659</v>
      </c>
      <c r="G2990" s="54">
        <v>0.05</v>
      </c>
      <c r="H2990" s="39" t="s">
        <v>101</v>
      </c>
      <c r="I2990" s="39" t="s">
        <v>102</v>
      </c>
      <c r="J2990" s="41">
        <v>4000</v>
      </c>
      <c r="K2990" s="42">
        <v>25.1</v>
      </c>
      <c r="L2990" s="43"/>
      <c r="M2990" s="43">
        <f>L2990*K2990</f>
        <v>0</v>
      </c>
      <c r="N2990" s="35">
        <v>4607116266298</v>
      </c>
    </row>
    <row r="2991" spans="1:14" ht="36" customHeight="1" outlineLevel="3" x14ac:dyDescent="0.2">
      <c r="A2991" s="45">
        <v>16340</v>
      </c>
      <c r="B2991" s="37" t="str">
        <f>HYPERLINK("http://sedek.ru/upload/iblock/d6c/fialka_uragan_shveytsarskiy_gigant.jpg","фото")</f>
        <v>фото</v>
      </c>
      <c r="C2991" s="38"/>
      <c r="D2991" s="38"/>
      <c r="E2991" s="39"/>
      <c r="F2991" s="39" t="s">
        <v>3660</v>
      </c>
      <c r="G2991" s="54">
        <v>0.05</v>
      </c>
      <c r="H2991" s="39" t="s">
        <v>101</v>
      </c>
      <c r="I2991" s="39" t="s">
        <v>102</v>
      </c>
      <c r="J2991" s="41">
        <v>4000</v>
      </c>
      <c r="K2991" s="42">
        <v>24.9</v>
      </c>
      <c r="L2991" s="43"/>
      <c r="M2991" s="43">
        <f>L2991*K2991</f>
        <v>0</v>
      </c>
      <c r="N2991" s="35">
        <v>4607116266304</v>
      </c>
    </row>
    <row r="2992" spans="1:14" ht="36" customHeight="1" outlineLevel="3" x14ac:dyDescent="0.2">
      <c r="A2992" s="45">
        <v>13760</v>
      </c>
      <c r="B2992" s="37" t="str">
        <f>HYPERLINK("http://sedek.ru/upload/iblock/382/fialka_khelen_maunt_rogataya.jpg","фото")</f>
        <v>фото</v>
      </c>
      <c r="C2992" s="38"/>
      <c r="D2992" s="38"/>
      <c r="E2992" s="39"/>
      <c r="F2992" s="39" t="s">
        <v>3661</v>
      </c>
      <c r="G2992" s="44">
        <v>0.1</v>
      </c>
      <c r="H2992" s="39" t="s">
        <v>101</v>
      </c>
      <c r="I2992" s="39" t="s">
        <v>102</v>
      </c>
      <c r="J2992" s="41">
        <v>4000</v>
      </c>
      <c r="K2992" s="42">
        <v>24.9</v>
      </c>
      <c r="L2992" s="43"/>
      <c r="M2992" s="43">
        <f>L2992*K2992</f>
        <v>0</v>
      </c>
      <c r="N2992" s="35">
        <v>4607116266311</v>
      </c>
    </row>
    <row r="2993" spans="1:14" ht="36" customHeight="1" outlineLevel="3" x14ac:dyDescent="0.2">
      <c r="A2993" s="45">
        <v>16564</v>
      </c>
      <c r="B2993" s="37" t="str">
        <f>HYPERLINK("http://sedek.ru/upload/iblock/5ee/fialka_shotlandiya_rogataya_gibridnaya_smes.jpg","фото")</f>
        <v>фото</v>
      </c>
      <c r="C2993" s="38"/>
      <c r="D2993" s="38"/>
      <c r="E2993" s="39"/>
      <c r="F2993" s="39" t="s">
        <v>3662</v>
      </c>
      <c r="G2993" s="54">
        <v>0.05</v>
      </c>
      <c r="H2993" s="39" t="s">
        <v>101</v>
      </c>
      <c r="I2993" s="39" t="s">
        <v>102</v>
      </c>
      <c r="J2993" s="41">
        <v>4000</v>
      </c>
      <c r="K2993" s="42">
        <v>24.9</v>
      </c>
      <c r="L2993" s="43"/>
      <c r="M2993" s="43">
        <f>L2993*K2993</f>
        <v>0</v>
      </c>
      <c r="N2993" s="35">
        <v>4607116266328</v>
      </c>
    </row>
    <row r="2994" spans="1:14" ht="36" customHeight="1" outlineLevel="3" x14ac:dyDescent="0.2">
      <c r="A2994" s="45">
        <v>14797</v>
      </c>
      <c r="B2994" s="37" t="str">
        <f>HYPERLINK("http://sedek.ru/upload/iblock/092/fizalis_oranzhevyy_fonarik.jpg","фото")</f>
        <v>фото</v>
      </c>
      <c r="C2994" s="38"/>
      <c r="D2994" s="38"/>
      <c r="E2994" s="39"/>
      <c r="F2994" s="39" t="s">
        <v>3663</v>
      </c>
      <c r="G2994" s="44">
        <v>0.1</v>
      </c>
      <c r="H2994" s="39" t="s">
        <v>101</v>
      </c>
      <c r="I2994" s="39" t="s">
        <v>102</v>
      </c>
      <c r="J2994" s="41">
        <v>3500</v>
      </c>
      <c r="K2994" s="42">
        <v>24.9</v>
      </c>
      <c r="L2994" s="43"/>
      <c r="M2994" s="43">
        <f>L2994*K2994</f>
        <v>0</v>
      </c>
      <c r="N2994" s="35">
        <v>4607116262320</v>
      </c>
    </row>
    <row r="2995" spans="1:14" ht="24" customHeight="1" outlineLevel="3" x14ac:dyDescent="0.2">
      <c r="A2995" s="45">
        <v>13815</v>
      </c>
      <c r="B2995" s="37" t="str">
        <f>HYPERLINK("http://sedek.ru/upload/iblock/628/floks_drummonda_galaktika_smes.jpg","фото")</f>
        <v>фото</v>
      </c>
      <c r="C2995" s="38"/>
      <c r="D2995" s="38"/>
      <c r="E2995" s="39"/>
      <c r="F2995" s="39" t="s">
        <v>3664</v>
      </c>
      <c r="G2995" s="54">
        <v>0.25</v>
      </c>
      <c r="H2995" s="39" t="s">
        <v>101</v>
      </c>
      <c r="I2995" s="39" t="s">
        <v>102</v>
      </c>
      <c r="J2995" s="41">
        <v>4000</v>
      </c>
      <c r="K2995" s="42">
        <v>26.06</v>
      </c>
      <c r="L2995" s="43"/>
      <c r="M2995" s="43">
        <f>L2995*K2995</f>
        <v>0</v>
      </c>
      <c r="N2995" s="35">
        <v>4607116266342</v>
      </c>
    </row>
    <row r="2996" spans="1:14" ht="36" customHeight="1" outlineLevel="3" x14ac:dyDescent="0.2">
      <c r="A2996" s="45">
        <v>30974</v>
      </c>
      <c r="B2996" s="37" t="str">
        <f>HYPERLINK("http://www.sedek.ru/upload/iblock/84e/floks_drummonda_zheltye_perelivy_nizkoroslyy.jpg","Фото")</f>
        <v>Фото</v>
      </c>
      <c r="C2996" s="38"/>
      <c r="D2996" s="38"/>
      <c r="E2996" s="39"/>
      <c r="F2996" s="39" t="s">
        <v>3665</v>
      </c>
      <c r="G2996" s="44">
        <v>0.2</v>
      </c>
      <c r="H2996" s="39" t="s">
        <v>101</v>
      </c>
      <c r="I2996" s="39" t="s">
        <v>102</v>
      </c>
      <c r="J2996" s="41">
        <v>4000</v>
      </c>
      <c r="K2996" s="42">
        <v>24.9</v>
      </c>
      <c r="L2996" s="43"/>
      <c r="M2996" s="43">
        <f>L2996*K2996</f>
        <v>0</v>
      </c>
      <c r="N2996" s="35">
        <v>4690368027106</v>
      </c>
    </row>
    <row r="2997" spans="1:14" ht="24" customHeight="1" outlineLevel="3" x14ac:dyDescent="0.2">
      <c r="A2997" s="45">
        <v>17153</v>
      </c>
      <c r="B2997" s="37" t="str">
        <f>HYPERLINK("http://www.sedek.ru/upload/iblock/b12/floks_drummonda_krasnye_perelivy_nizkoroslyy.jpg","Фото")</f>
        <v>Фото</v>
      </c>
      <c r="C2997" s="38"/>
      <c r="D2997" s="38"/>
      <c r="E2997" s="39"/>
      <c r="F2997" s="39" t="s">
        <v>3666</v>
      </c>
      <c r="G2997" s="44">
        <v>0.2</v>
      </c>
      <c r="H2997" s="39" t="s">
        <v>101</v>
      </c>
      <c r="I2997" s="39" t="s">
        <v>102</v>
      </c>
      <c r="J2997" s="41">
        <v>4000</v>
      </c>
      <c r="K2997" s="42">
        <v>24.9</v>
      </c>
      <c r="L2997" s="43"/>
      <c r="M2997" s="43">
        <f>L2997*K2997</f>
        <v>0</v>
      </c>
      <c r="N2997" s="35">
        <v>4690368023641</v>
      </c>
    </row>
    <row r="2998" spans="1:14" ht="24" customHeight="1" outlineLevel="3" x14ac:dyDescent="0.2">
      <c r="A2998" s="45">
        <v>15017</v>
      </c>
      <c r="B2998" s="37" t="str">
        <f>HYPERLINK("http://sedek.ru/upload/iblock/e59/Флокс Друммонда крупноцветковый Эдмонд (Н).JPG","фото")</f>
        <v>фото</v>
      </c>
      <c r="C2998" s="38"/>
      <c r="D2998" s="38"/>
      <c r="E2998" s="39"/>
      <c r="F2998" s="39" t="s">
        <v>3667</v>
      </c>
      <c r="G2998" s="44">
        <v>0.2</v>
      </c>
      <c r="H2998" s="39" t="s">
        <v>101</v>
      </c>
      <c r="I2998" s="39" t="s">
        <v>102</v>
      </c>
      <c r="J2998" s="41">
        <v>4000</v>
      </c>
      <c r="K2998" s="42">
        <v>24.9</v>
      </c>
      <c r="L2998" s="43"/>
      <c r="M2998" s="43">
        <f>L2998*K2998</f>
        <v>0</v>
      </c>
      <c r="N2998" s="35">
        <v>4690368019088</v>
      </c>
    </row>
    <row r="2999" spans="1:14" ht="24" customHeight="1" outlineLevel="3" x14ac:dyDescent="0.2">
      <c r="A2999" s="45">
        <v>15861</v>
      </c>
      <c r="B2999" s="37" t="str">
        <f>HYPERLINK("http://sedek.ru/upload/iblock/49e/Хейрантус (Лакфиоль) Мотыльки, смесь (Н).JPG","фото")</f>
        <v>фото</v>
      </c>
      <c r="C2999" s="38"/>
      <c r="D2999" s="38"/>
      <c r="E2999" s="39"/>
      <c r="F2999" s="39" t="s">
        <v>3668</v>
      </c>
      <c r="G2999" s="40">
        <v>1</v>
      </c>
      <c r="H2999" s="39" t="s">
        <v>101</v>
      </c>
      <c r="I2999" s="39" t="s">
        <v>102</v>
      </c>
      <c r="J2999" s="41">
        <v>2500</v>
      </c>
      <c r="K2999" s="42">
        <v>21.4</v>
      </c>
      <c r="L2999" s="43"/>
      <c r="M2999" s="43">
        <f>L2999*K2999</f>
        <v>0</v>
      </c>
      <c r="N2999" s="35">
        <v>4607116266359</v>
      </c>
    </row>
    <row r="3000" spans="1:14" ht="36" customHeight="1" outlineLevel="3" x14ac:dyDescent="0.2">
      <c r="A3000" s="45">
        <v>14446</v>
      </c>
      <c r="B3000" s="37" t="str">
        <f>HYPERLINK("http://sedek.ru/upload/iblock/5ec/khrizantema-gloriya_n_.jpg","фото")</f>
        <v>фото</v>
      </c>
      <c r="C3000" s="38"/>
      <c r="D3000" s="38"/>
      <c r="E3000" s="39"/>
      <c r="F3000" s="39" t="s">
        <v>3669</v>
      </c>
      <c r="G3000" s="44">
        <v>0.5</v>
      </c>
      <c r="H3000" s="39" t="s">
        <v>101</v>
      </c>
      <c r="I3000" s="39" t="s">
        <v>102</v>
      </c>
      <c r="J3000" s="41">
        <v>3000</v>
      </c>
      <c r="K3000" s="42">
        <v>24.9</v>
      </c>
      <c r="L3000" s="43"/>
      <c r="M3000" s="43">
        <f>L3000*K3000</f>
        <v>0</v>
      </c>
      <c r="N3000" s="35">
        <v>4607116266380</v>
      </c>
    </row>
    <row r="3001" spans="1:14" ht="24" customHeight="1" outlineLevel="3" x14ac:dyDescent="0.2">
      <c r="A3001" s="45">
        <v>16300</v>
      </c>
      <c r="B3001" s="37" t="str">
        <f>HYPERLINK("http://sedek.ru/upload/iblock/a60/khrizantema-ovoshchnaya-zhozefina_n_.jpg","фото")</f>
        <v>фото</v>
      </c>
      <c r="C3001" s="38"/>
      <c r="D3001" s="38"/>
      <c r="E3001" s="39"/>
      <c r="F3001" s="39" t="s">
        <v>3670</v>
      </c>
      <c r="G3001" s="44">
        <v>0.2</v>
      </c>
      <c r="H3001" s="39" t="s">
        <v>101</v>
      </c>
      <c r="I3001" s="39" t="s">
        <v>102</v>
      </c>
      <c r="J3001" s="41">
        <v>3000</v>
      </c>
      <c r="K3001" s="42">
        <v>21.4</v>
      </c>
      <c r="L3001" s="43"/>
      <c r="M3001" s="43">
        <f>L3001*K3001</f>
        <v>0</v>
      </c>
      <c r="N3001" s="35">
        <v>4607116266403</v>
      </c>
    </row>
    <row r="3002" spans="1:14" ht="24" customHeight="1" outlineLevel="3" x14ac:dyDescent="0.2">
      <c r="A3002" s="45">
        <v>14913</v>
      </c>
      <c r="B3002" s="37" t="str">
        <f>HYPERLINK("http://sedek.ru/upload/iblock/47b/Целозия перистая Викинг (Н).JPG","фото")</f>
        <v>фото</v>
      </c>
      <c r="C3002" s="38"/>
      <c r="D3002" s="38"/>
      <c r="E3002" s="39"/>
      <c r="F3002" s="39" t="s">
        <v>3671</v>
      </c>
      <c r="G3002" s="44">
        <v>0.2</v>
      </c>
      <c r="H3002" s="39" t="s">
        <v>101</v>
      </c>
      <c r="I3002" s="39" t="s">
        <v>102</v>
      </c>
      <c r="J3002" s="41">
        <v>2500</v>
      </c>
      <c r="K3002" s="42">
        <v>24.9</v>
      </c>
      <c r="L3002" s="43"/>
      <c r="M3002" s="43">
        <f>L3002*K3002</f>
        <v>0</v>
      </c>
      <c r="N3002" s="35">
        <v>4690368017626</v>
      </c>
    </row>
    <row r="3003" spans="1:14" ht="36" customHeight="1" outlineLevel="3" x14ac:dyDescent="0.2">
      <c r="A3003" s="45">
        <v>14801</v>
      </c>
      <c r="B3003" s="37" t="str">
        <f>HYPERLINK("http://sedek.ru/upload/iblock/57f/Целозия Корал гарден, смесь (Н).JPG","фото")</f>
        <v>фото</v>
      </c>
      <c r="C3003" s="38"/>
      <c r="D3003" s="38"/>
      <c r="E3003" s="39"/>
      <c r="F3003" s="39" t="s">
        <v>3672</v>
      </c>
      <c r="G3003" s="44">
        <v>0.2</v>
      </c>
      <c r="H3003" s="39" t="s">
        <v>101</v>
      </c>
      <c r="I3003" s="39" t="s">
        <v>102</v>
      </c>
      <c r="J3003" s="41">
        <v>2500</v>
      </c>
      <c r="K3003" s="42">
        <v>24.9</v>
      </c>
      <c r="L3003" s="43"/>
      <c r="M3003" s="43">
        <f>L3003*K3003</f>
        <v>0</v>
      </c>
      <c r="N3003" s="35">
        <v>4607116266410</v>
      </c>
    </row>
    <row r="3004" spans="1:14" ht="24" customHeight="1" outlineLevel="3" x14ac:dyDescent="0.2">
      <c r="A3004" s="45">
        <v>14912</v>
      </c>
      <c r="B3004" s="37" t="str">
        <f>HYPERLINK("http://sedek.ru/upload/iblock/d65/Целозия перистая Турецкий марш (Н).JPG","фото")</f>
        <v>фото</v>
      </c>
      <c r="C3004" s="38"/>
      <c r="D3004" s="38"/>
      <c r="E3004" s="39"/>
      <c r="F3004" s="39" t="s">
        <v>3673</v>
      </c>
      <c r="G3004" s="44">
        <v>0.1</v>
      </c>
      <c r="H3004" s="39" t="s">
        <v>101</v>
      </c>
      <c r="I3004" s="39" t="s">
        <v>102</v>
      </c>
      <c r="J3004" s="41">
        <v>2500</v>
      </c>
      <c r="K3004" s="42">
        <v>21.4</v>
      </c>
      <c r="L3004" s="43"/>
      <c r="M3004" s="43">
        <f>L3004*K3004</f>
        <v>0</v>
      </c>
      <c r="N3004" s="35">
        <v>4690368017619</v>
      </c>
    </row>
    <row r="3005" spans="1:14" ht="24" customHeight="1" outlineLevel="3" x14ac:dyDescent="0.2">
      <c r="A3005" s="45">
        <v>14914</v>
      </c>
      <c r="B3005" s="37" t="str">
        <f>HYPERLINK("http://sedek.ru/upload/iblock/0d6/Целозия перистая Фламандец (Н).JPG","фото")</f>
        <v>фото</v>
      </c>
      <c r="C3005" s="38"/>
      <c r="D3005" s="38"/>
      <c r="E3005" s="39"/>
      <c r="F3005" s="39" t="s">
        <v>3674</v>
      </c>
      <c r="G3005" s="44">
        <v>0.2</v>
      </c>
      <c r="H3005" s="39" t="s">
        <v>101</v>
      </c>
      <c r="I3005" s="39" t="s">
        <v>102</v>
      </c>
      <c r="J3005" s="41">
        <v>2500</v>
      </c>
      <c r="K3005" s="42">
        <v>24.9</v>
      </c>
      <c r="L3005" s="43"/>
      <c r="M3005" s="43">
        <f>L3005*K3005</f>
        <v>0</v>
      </c>
      <c r="N3005" s="35">
        <v>4690368017633</v>
      </c>
    </row>
    <row r="3006" spans="1:14" ht="24" customHeight="1" outlineLevel="3" x14ac:dyDescent="0.2">
      <c r="A3006" s="36" t="s">
        <v>3675</v>
      </c>
      <c r="B3006" s="37" t="str">
        <f>HYPERLINK("http://sedek.ru/upload/iblock/935/Целозия перистая Шанхай (Н).jpg","фото")</f>
        <v>фото</v>
      </c>
      <c r="C3006" s="38"/>
      <c r="D3006" s="38"/>
      <c r="E3006" s="39"/>
      <c r="F3006" s="39" t="s">
        <v>3676</v>
      </c>
      <c r="G3006" s="44">
        <v>0.1</v>
      </c>
      <c r="H3006" s="39"/>
      <c r="I3006" s="39" t="s">
        <v>102</v>
      </c>
      <c r="J3006" s="41">
        <v>2500</v>
      </c>
      <c r="K3006" s="42">
        <v>29.3</v>
      </c>
      <c r="L3006" s="43"/>
      <c r="M3006" s="43">
        <f>L3006*K3006</f>
        <v>0</v>
      </c>
      <c r="N3006" s="35">
        <v>4607149408139</v>
      </c>
    </row>
    <row r="3007" spans="1:14" ht="24" customHeight="1" outlineLevel="3" x14ac:dyDescent="0.2">
      <c r="A3007" s="45">
        <v>14158</v>
      </c>
      <c r="B3007" s="37" t="str">
        <f>HYPERLINK("http://sedek.ru/upload/iblock/d30/tsinerariya_kendikens_morskaya.jpg","фото")</f>
        <v>фото</v>
      </c>
      <c r="C3007" s="38"/>
      <c r="D3007" s="38"/>
      <c r="E3007" s="39"/>
      <c r="F3007" s="39" t="s">
        <v>3677</v>
      </c>
      <c r="G3007" s="44">
        <v>0.1</v>
      </c>
      <c r="H3007" s="39" t="s">
        <v>101</v>
      </c>
      <c r="I3007" s="39" t="s">
        <v>102</v>
      </c>
      <c r="J3007" s="41">
        <v>3000</v>
      </c>
      <c r="K3007" s="42">
        <v>27.9</v>
      </c>
      <c r="L3007" s="43"/>
      <c r="M3007" s="43">
        <f>L3007*K3007</f>
        <v>0</v>
      </c>
      <c r="N3007" s="35">
        <v>4607116266434</v>
      </c>
    </row>
    <row r="3008" spans="1:14" ht="24" customHeight="1" outlineLevel="3" x14ac:dyDescent="0.2">
      <c r="A3008" s="45">
        <v>13773</v>
      </c>
      <c r="B3008" s="37" t="str">
        <f>HYPERLINK("http://sedek.ru/upload/iblock/697/tsinniya_arlekin.jpg","фото")</f>
        <v>фото</v>
      </c>
      <c r="C3008" s="38"/>
      <c r="D3008" s="38"/>
      <c r="E3008" s="39"/>
      <c r="F3008" s="39" t="s">
        <v>3678</v>
      </c>
      <c r="G3008" s="44">
        <v>0.5</v>
      </c>
      <c r="H3008" s="39" t="s">
        <v>101</v>
      </c>
      <c r="I3008" s="39" t="s">
        <v>102</v>
      </c>
      <c r="J3008" s="41">
        <v>3000</v>
      </c>
      <c r="K3008" s="42">
        <v>24.9</v>
      </c>
      <c r="L3008" s="43"/>
      <c r="M3008" s="43">
        <f>L3008*K3008</f>
        <v>0</v>
      </c>
      <c r="N3008" s="35">
        <v>4607116266465</v>
      </c>
    </row>
    <row r="3009" spans="1:14" ht="24" customHeight="1" outlineLevel="3" x14ac:dyDescent="0.2">
      <c r="A3009" s="45">
        <v>14575</v>
      </c>
      <c r="B3009" s="37" t="str">
        <f>HYPERLINK("http://sedek.ru/upload/iblock/5ea/tsinniya_golden_steyt_georginovidnaya.jpg","фото")</f>
        <v>фото</v>
      </c>
      <c r="C3009" s="38"/>
      <c r="D3009" s="38"/>
      <c r="E3009" s="39"/>
      <c r="F3009" s="39" t="s">
        <v>3679</v>
      </c>
      <c r="G3009" s="44">
        <v>0.5</v>
      </c>
      <c r="H3009" s="39" t="s">
        <v>101</v>
      </c>
      <c r="I3009" s="39" t="s">
        <v>102</v>
      </c>
      <c r="J3009" s="41">
        <v>3000</v>
      </c>
      <c r="K3009" s="42">
        <v>24.9</v>
      </c>
      <c r="L3009" s="43"/>
      <c r="M3009" s="43">
        <f>L3009*K3009</f>
        <v>0</v>
      </c>
      <c r="N3009" s="35">
        <v>4607116266489</v>
      </c>
    </row>
    <row r="3010" spans="1:14" ht="24" customHeight="1" outlineLevel="3" x14ac:dyDescent="0.2">
      <c r="A3010" s="45">
        <v>15943</v>
      </c>
      <c r="B3010" s="37" t="str">
        <f>HYPERLINK("http://sedek.ru/upload/iblock/bc4/tsinniya_zolushka.jpg","фото")</f>
        <v>фото</v>
      </c>
      <c r="C3010" s="38"/>
      <c r="D3010" s="38"/>
      <c r="E3010" s="39"/>
      <c r="F3010" s="39" t="s">
        <v>3680</v>
      </c>
      <c r="G3010" s="44">
        <v>0.5</v>
      </c>
      <c r="H3010" s="39" t="s">
        <v>101</v>
      </c>
      <c r="I3010" s="39" t="s">
        <v>102</v>
      </c>
      <c r="J3010" s="41">
        <v>3000</v>
      </c>
      <c r="K3010" s="42">
        <v>24.9</v>
      </c>
      <c r="L3010" s="43"/>
      <c r="M3010" s="43">
        <f>L3010*K3010</f>
        <v>0</v>
      </c>
      <c r="N3010" s="35">
        <v>4607116266496</v>
      </c>
    </row>
    <row r="3011" spans="1:14" ht="36" customHeight="1" outlineLevel="3" x14ac:dyDescent="0.2">
      <c r="A3011" s="45">
        <v>14381</v>
      </c>
      <c r="B3011" s="37" t="str">
        <f>HYPERLINK("http://sedek.ru/upload/iblock/116/tsinniya_kendi_strayp_khrizantemovidnaya_smes.jpg","фото")</f>
        <v>фото</v>
      </c>
      <c r="C3011" s="38"/>
      <c r="D3011" s="38"/>
      <c r="E3011" s="39"/>
      <c r="F3011" s="39" t="s">
        <v>3681</v>
      </c>
      <c r="G3011" s="44">
        <v>0.5</v>
      </c>
      <c r="H3011" s="39" t="s">
        <v>101</v>
      </c>
      <c r="I3011" s="39" t="s">
        <v>102</v>
      </c>
      <c r="J3011" s="41">
        <v>3000</v>
      </c>
      <c r="K3011" s="42">
        <v>24.9</v>
      </c>
      <c r="L3011" s="43"/>
      <c r="M3011" s="43">
        <f>L3011*K3011</f>
        <v>0</v>
      </c>
      <c r="N3011" s="35">
        <v>4607116266519</v>
      </c>
    </row>
    <row r="3012" spans="1:14" ht="36" customHeight="1" outlineLevel="3" x14ac:dyDescent="0.2">
      <c r="A3012" s="45">
        <v>15047</v>
      </c>
      <c r="B3012" s="37" t="str">
        <f>HYPERLINK("http://sedek.ru/upload/iblock/eb8/tsinniya_karusel.jpg","фото")</f>
        <v>фото</v>
      </c>
      <c r="C3012" s="38"/>
      <c r="D3012" s="38"/>
      <c r="E3012" s="39"/>
      <c r="F3012" s="39" t="s">
        <v>3682</v>
      </c>
      <c r="G3012" s="44">
        <v>0.5</v>
      </c>
      <c r="H3012" s="39" t="s">
        <v>101</v>
      </c>
      <c r="I3012" s="39" t="s">
        <v>102</v>
      </c>
      <c r="J3012" s="41">
        <v>3000</v>
      </c>
      <c r="K3012" s="42">
        <v>24.9</v>
      </c>
      <c r="L3012" s="43"/>
      <c r="M3012" s="43">
        <f>L3012*K3012</f>
        <v>0</v>
      </c>
      <c r="N3012" s="35">
        <v>4690368019408</v>
      </c>
    </row>
    <row r="3013" spans="1:14" ht="36" customHeight="1" outlineLevel="3" x14ac:dyDescent="0.2">
      <c r="A3013" s="45">
        <v>15111</v>
      </c>
      <c r="B3013" s="37" t="str">
        <f>HYPERLINK("http://www.sedek.ru/upload/iblock/d13/tsinniya_mambo_georginovidnaya_smes_tsvetov.jpg","Фото")</f>
        <v>Фото</v>
      </c>
      <c r="C3013" s="38"/>
      <c r="D3013" s="38"/>
      <c r="E3013" s="39"/>
      <c r="F3013" s="39" t="s">
        <v>3683</v>
      </c>
      <c r="G3013" s="44">
        <v>0.5</v>
      </c>
      <c r="H3013" s="39" t="s">
        <v>101</v>
      </c>
      <c r="I3013" s="39" t="s">
        <v>102</v>
      </c>
      <c r="J3013" s="41">
        <v>3000</v>
      </c>
      <c r="K3013" s="42">
        <v>21.4</v>
      </c>
      <c r="L3013" s="43"/>
      <c r="M3013" s="43">
        <f>L3013*K3013</f>
        <v>0</v>
      </c>
      <c r="N3013" s="35">
        <v>4607149400072</v>
      </c>
    </row>
    <row r="3014" spans="1:14" ht="24" customHeight="1" outlineLevel="3" x14ac:dyDescent="0.2">
      <c r="A3014" s="45">
        <v>15708</v>
      </c>
      <c r="B3014" s="37" t="str">
        <f>HYPERLINK("http://sedek.ru/upload/iblock/b91/tsinniya_pantomima.jpg","фото")</f>
        <v>фото</v>
      </c>
      <c r="C3014" s="38"/>
      <c r="D3014" s="38"/>
      <c r="E3014" s="39"/>
      <c r="F3014" s="39" t="s">
        <v>3684</v>
      </c>
      <c r="G3014" s="44">
        <v>0.5</v>
      </c>
      <c r="H3014" s="39" t="s">
        <v>101</v>
      </c>
      <c r="I3014" s="39" t="s">
        <v>102</v>
      </c>
      <c r="J3014" s="41">
        <v>3000</v>
      </c>
      <c r="K3014" s="42">
        <v>24.9</v>
      </c>
      <c r="L3014" s="43"/>
      <c r="M3014" s="43">
        <f>L3014*K3014</f>
        <v>0</v>
      </c>
      <c r="N3014" s="35">
        <v>4607149408146</v>
      </c>
    </row>
    <row r="3015" spans="1:14" ht="36" customHeight="1" outlineLevel="3" x14ac:dyDescent="0.2">
      <c r="A3015" s="45">
        <v>14634</v>
      </c>
      <c r="B3015" s="37" t="str">
        <f>HYPERLINK("http://sedek.ru/upload/iblock/8f5/tsinniya_penelopa_izyashchnaya_smes.jpg","фото")</f>
        <v>фото</v>
      </c>
      <c r="C3015" s="38"/>
      <c r="D3015" s="38"/>
      <c r="E3015" s="39"/>
      <c r="F3015" s="39" t="s">
        <v>3685</v>
      </c>
      <c r="G3015" s="44">
        <v>0.2</v>
      </c>
      <c r="H3015" s="39" t="s">
        <v>101</v>
      </c>
      <c r="I3015" s="39" t="s">
        <v>102</v>
      </c>
      <c r="J3015" s="41">
        <v>3000</v>
      </c>
      <c r="K3015" s="42">
        <v>21.4</v>
      </c>
      <c r="L3015" s="43"/>
      <c r="M3015" s="43">
        <f>L3015*K3015</f>
        <v>0</v>
      </c>
      <c r="N3015" s="35">
        <v>4607149408153</v>
      </c>
    </row>
    <row r="3016" spans="1:14" ht="36" customHeight="1" outlineLevel="3" x14ac:dyDescent="0.2">
      <c r="A3016" s="45">
        <v>13814</v>
      </c>
      <c r="B3016" s="37" t="str">
        <f>HYPERLINK("http://sedek.ru/upload/iblock/ad3/tsinniya_polyarnyy_medved_georginovidnaya.jpg","фото")</f>
        <v>фото</v>
      </c>
      <c r="C3016" s="38"/>
      <c r="D3016" s="38"/>
      <c r="E3016" s="39"/>
      <c r="F3016" s="39" t="s">
        <v>3686</v>
      </c>
      <c r="G3016" s="44">
        <v>0.2</v>
      </c>
      <c r="H3016" s="39" t="s">
        <v>101</v>
      </c>
      <c r="I3016" s="39" t="s">
        <v>102</v>
      </c>
      <c r="J3016" s="41">
        <v>3000</v>
      </c>
      <c r="K3016" s="42">
        <v>23.2</v>
      </c>
      <c r="L3016" s="43"/>
      <c r="M3016" s="43">
        <f>L3016*K3016</f>
        <v>0</v>
      </c>
      <c r="N3016" s="35">
        <v>4607116266557</v>
      </c>
    </row>
    <row r="3017" spans="1:14" ht="36" customHeight="1" outlineLevel="3" x14ac:dyDescent="0.2">
      <c r="A3017" s="45">
        <v>15185</v>
      </c>
      <c r="B3017" s="37" t="str">
        <f>HYPERLINK("http://sedek.ru/upload/iblock/7a2/tsinniya_rapsodiya_kaktusovidnaya.jpg","фото")</f>
        <v>фото</v>
      </c>
      <c r="C3017" s="38"/>
      <c r="D3017" s="38"/>
      <c r="E3017" s="39"/>
      <c r="F3017" s="39" t="s">
        <v>3687</v>
      </c>
      <c r="G3017" s="44">
        <v>0.5</v>
      </c>
      <c r="H3017" s="39" t="s">
        <v>101</v>
      </c>
      <c r="I3017" s="39" t="s">
        <v>102</v>
      </c>
      <c r="J3017" s="41">
        <v>3000</v>
      </c>
      <c r="K3017" s="42">
        <v>27.4</v>
      </c>
      <c r="L3017" s="43"/>
      <c r="M3017" s="43">
        <f>L3017*K3017</f>
        <v>0</v>
      </c>
      <c r="N3017" s="35">
        <v>4607116266564</v>
      </c>
    </row>
    <row r="3018" spans="1:14" ht="24" customHeight="1" outlineLevel="3" x14ac:dyDescent="0.2">
      <c r="A3018" s="45">
        <v>16028</v>
      </c>
      <c r="B3018" s="37" t="str">
        <f>HYPERLINK("http://sedek.ru/upload/iblock/58c/tsinniya_rusalochka.jpg","фото")</f>
        <v>фото</v>
      </c>
      <c r="C3018" s="38"/>
      <c r="D3018" s="38"/>
      <c r="E3018" s="39"/>
      <c r="F3018" s="39" t="s">
        <v>3688</v>
      </c>
      <c r="G3018" s="44">
        <v>0.3</v>
      </c>
      <c r="H3018" s="39" t="s">
        <v>101</v>
      </c>
      <c r="I3018" s="39" t="s">
        <v>102</v>
      </c>
      <c r="J3018" s="41">
        <v>3000</v>
      </c>
      <c r="K3018" s="42">
        <v>24.9</v>
      </c>
      <c r="L3018" s="43"/>
      <c r="M3018" s="43">
        <f>L3018*K3018</f>
        <v>0</v>
      </c>
      <c r="N3018" s="35">
        <v>4607116266571</v>
      </c>
    </row>
    <row r="3019" spans="1:14" ht="36" customHeight="1" outlineLevel="3" x14ac:dyDescent="0.2">
      <c r="A3019" s="45">
        <v>14397</v>
      </c>
      <c r="B3019" s="37" t="str">
        <f>HYPERLINK("http://sedek.ru/upload/iblock/7cc/tsinniya_santa_mariya.jpg","фото")</f>
        <v>фото</v>
      </c>
      <c r="C3019" s="38"/>
      <c r="D3019" s="38"/>
      <c r="E3019" s="39"/>
      <c r="F3019" s="39" t="s">
        <v>3689</v>
      </c>
      <c r="G3019" s="44">
        <v>0.5</v>
      </c>
      <c r="H3019" s="39" t="s">
        <v>101</v>
      </c>
      <c r="I3019" s="39" t="s">
        <v>102</v>
      </c>
      <c r="J3019" s="41">
        <v>3000</v>
      </c>
      <c r="K3019" s="42">
        <v>24.9</v>
      </c>
      <c r="L3019" s="43"/>
      <c r="M3019" s="43">
        <f>L3019*K3019</f>
        <v>0</v>
      </c>
      <c r="N3019" s="35">
        <v>4607116266502</v>
      </c>
    </row>
    <row r="3020" spans="1:14" ht="24" customHeight="1" outlineLevel="3" x14ac:dyDescent="0.2">
      <c r="A3020" s="45">
        <v>15049</v>
      </c>
      <c r="B3020" s="37" t="str">
        <f>HYPERLINK("http://sedek.ru/upload/iblock/72a/tsinniya_senorita.jpg","фото")</f>
        <v>фото</v>
      </c>
      <c r="C3020" s="38"/>
      <c r="D3020" s="38"/>
      <c r="E3020" s="39"/>
      <c r="F3020" s="39" t="s">
        <v>3690</v>
      </c>
      <c r="G3020" s="54">
        <v>0.25</v>
      </c>
      <c r="H3020" s="39" t="s">
        <v>101</v>
      </c>
      <c r="I3020" s="39" t="s">
        <v>102</v>
      </c>
      <c r="J3020" s="41">
        <v>3000</v>
      </c>
      <c r="K3020" s="42">
        <v>24.9</v>
      </c>
      <c r="L3020" s="43"/>
      <c r="M3020" s="43">
        <f>L3020*K3020</f>
        <v>0</v>
      </c>
      <c r="N3020" s="35">
        <v>4690368019422</v>
      </c>
    </row>
    <row r="3021" spans="1:14" ht="24" customHeight="1" outlineLevel="3" x14ac:dyDescent="0.2">
      <c r="A3021" s="45">
        <v>13538</v>
      </c>
      <c r="B3021" s="37" t="str">
        <f>HYPERLINK("http://sedek.ru/upload/iblock/05f/tsinniya_skarlet_fleym_georginovidnaya.jpg","фото")</f>
        <v>фото</v>
      </c>
      <c r="C3021" s="38"/>
      <c r="D3021" s="38"/>
      <c r="E3021" s="39"/>
      <c r="F3021" s="39" t="s">
        <v>3691</v>
      </c>
      <c r="G3021" s="44">
        <v>0.5</v>
      </c>
      <c r="H3021" s="39" t="s">
        <v>101</v>
      </c>
      <c r="I3021" s="39" t="s">
        <v>102</v>
      </c>
      <c r="J3021" s="41">
        <v>3000</v>
      </c>
      <c r="K3021" s="42">
        <v>24.9</v>
      </c>
      <c r="L3021" s="43"/>
      <c r="M3021" s="43">
        <f>L3021*K3021</f>
        <v>0</v>
      </c>
      <c r="N3021" s="35">
        <v>4607116266588</v>
      </c>
    </row>
    <row r="3022" spans="1:14" ht="36" customHeight="1" outlineLevel="3" x14ac:dyDescent="0.2">
      <c r="A3022" s="45">
        <v>17157</v>
      </c>
      <c r="B3022" s="37" t="str">
        <f>HYPERLINK("http://sedek.ru/upload/iblock/584/tsinniya_staryy_mekhiko.jpg","фото")</f>
        <v>фото</v>
      </c>
      <c r="C3022" s="38"/>
      <c r="D3022" s="38"/>
      <c r="E3022" s="39"/>
      <c r="F3022" s="39" t="s">
        <v>3692</v>
      </c>
      <c r="G3022" s="44">
        <v>0.3</v>
      </c>
      <c r="H3022" s="39" t="s">
        <v>101</v>
      </c>
      <c r="I3022" s="39" t="s">
        <v>102</v>
      </c>
      <c r="J3022" s="41">
        <v>3000</v>
      </c>
      <c r="K3022" s="42">
        <v>28.2</v>
      </c>
      <c r="L3022" s="43"/>
      <c r="M3022" s="43">
        <f>L3022*K3022</f>
        <v>0</v>
      </c>
      <c r="N3022" s="35">
        <v>4690368023252</v>
      </c>
    </row>
    <row r="3023" spans="1:14" ht="48" customHeight="1" outlineLevel="3" x14ac:dyDescent="0.2">
      <c r="A3023" s="45">
        <v>15239</v>
      </c>
      <c r="B3023" s="37" t="str">
        <f>HYPERLINK("http://sedek.ru/upload/iblock/259/tsinniya_fantastika_skabiozovidnaya_smes.jpg","фото")</f>
        <v>фото</v>
      </c>
      <c r="C3023" s="38"/>
      <c r="D3023" s="38"/>
      <c r="E3023" s="39"/>
      <c r="F3023" s="39" t="s">
        <v>3693</v>
      </c>
      <c r="G3023" s="44">
        <v>0.3</v>
      </c>
      <c r="H3023" s="39" t="s">
        <v>101</v>
      </c>
      <c r="I3023" s="39" t="s">
        <v>102</v>
      </c>
      <c r="J3023" s="41">
        <v>3000</v>
      </c>
      <c r="K3023" s="42">
        <v>24.9</v>
      </c>
      <c r="L3023" s="43"/>
      <c r="M3023" s="43">
        <f>L3023*K3023</f>
        <v>0</v>
      </c>
      <c r="N3023" s="35">
        <v>4607116266595</v>
      </c>
    </row>
    <row r="3024" spans="1:14" ht="24" customHeight="1" outlineLevel="3" x14ac:dyDescent="0.2">
      <c r="A3024" s="46">
        <v>16044</v>
      </c>
      <c r="B3024" s="47" t="str">
        <f>HYPERLINK("http://sedek.ru/upload/iblock/389/tsinniya_festival_georginovidnaya_smes.jpg","фото")</f>
        <v>фото</v>
      </c>
      <c r="C3024" s="48"/>
      <c r="D3024" s="48"/>
      <c r="E3024" s="49"/>
      <c r="F3024" s="49" t="s">
        <v>3694</v>
      </c>
      <c r="G3024" s="56">
        <v>0.5</v>
      </c>
      <c r="H3024" s="49" t="s">
        <v>101</v>
      </c>
      <c r="I3024" s="49" t="s">
        <v>102</v>
      </c>
      <c r="J3024" s="51">
        <v>3000</v>
      </c>
      <c r="K3024" s="52">
        <v>22</v>
      </c>
      <c r="L3024" s="53"/>
      <c r="M3024" s="53">
        <f>L3024*K3024</f>
        <v>0</v>
      </c>
      <c r="N3024" s="35">
        <v>4607116266601</v>
      </c>
    </row>
    <row r="3025" spans="1:14" ht="24" customHeight="1" outlineLevel="3" x14ac:dyDescent="0.2">
      <c r="A3025" s="45">
        <v>15601</v>
      </c>
      <c r="B3025" s="37" t="str">
        <f>HYPERLINK("http://sedek.ru/upload/iblock/d5d/tsinniya_cherri_kuin.jpg","фото")</f>
        <v>фото</v>
      </c>
      <c r="C3025" s="38"/>
      <c r="D3025" s="38"/>
      <c r="E3025" s="39"/>
      <c r="F3025" s="39" t="s">
        <v>3695</v>
      </c>
      <c r="G3025" s="44">
        <v>0.5</v>
      </c>
      <c r="H3025" s="39" t="s">
        <v>101</v>
      </c>
      <c r="I3025" s="39" t="s">
        <v>102</v>
      </c>
      <c r="J3025" s="41">
        <v>3000</v>
      </c>
      <c r="K3025" s="42">
        <v>23.2</v>
      </c>
      <c r="L3025" s="43"/>
      <c r="M3025" s="43">
        <f>L3025*K3025</f>
        <v>0</v>
      </c>
      <c r="N3025" s="35">
        <v>4607116266625</v>
      </c>
    </row>
    <row r="3026" spans="1:14" ht="24" customHeight="1" outlineLevel="3" x14ac:dyDescent="0.2">
      <c r="A3026" s="36" t="s">
        <v>3696</v>
      </c>
      <c r="B3026" s="37"/>
      <c r="C3026" s="38"/>
      <c r="D3026" s="38"/>
      <c r="E3026" s="39"/>
      <c r="F3026" s="39" t="s">
        <v>3697</v>
      </c>
      <c r="G3026" s="40">
        <v>5</v>
      </c>
      <c r="H3026" s="39"/>
      <c r="I3026" s="39" t="s">
        <v>102</v>
      </c>
      <c r="J3026" s="57"/>
      <c r="K3026" s="42">
        <v>58.8</v>
      </c>
      <c r="L3026" s="43"/>
      <c r="M3026" s="43">
        <f>L3026*K3026</f>
        <v>0</v>
      </c>
      <c r="N3026" s="35">
        <v>4690368045414</v>
      </c>
    </row>
    <row r="3027" spans="1:14" ht="24" customHeight="1" outlineLevel="3" x14ac:dyDescent="0.2">
      <c r="A3027" s="36" t="s">
        <v>3698</v>
      </c>
      <c r="B3027" s="37"/>
      <c r="C3027" s="38"/>
      <c r="D3027" s="38"/>
      <c r="E3027" s="39"/>
      <c r="F3027" s="39" t="s">
        <v>3699</v>
      </c>
      <c r="G3027" s="40">
        <v>5</v>
      </c>
      <c r="H3027" s="39"/>
      <c r="I3027" s="39" t="s">
        <v>102</v>
      </c>
      <c r="J3027" s="57"/>
      <c r="K3027" s="42">
        <v>58.8</v>
      </c>
      <c r="L3027" s="43"/>
      <c r="M3027" s="43">
        <f>L3027*K3027</f>
        <v>0</v>
      </c>
      <c r="N3027" s="35">
        <v>4690368045407</v>
      </c>
    </row>
    <row r="3028" spans="1:14" ht="24" customHeight="1" outlineLevel="3" x14ac:dyDescent="0.2">
      <c r="A3028" s="36" t="s">
        <v>3700</v>
      </c>
      <c r="B3028" s="37"/>
      <c r="C3028" s="38"/>
      <c r="D3028" s="38"/>
      <c r="E3028" s="39"/>
      <c r="F3028" s="39" t="s">
        <v>3701</v>
      </c>
      <c r="G3028" s="40">
        <v>5</v>
      </c>
      <c r="H3028" s="39"/>
      <c r="I3028" s="39" t="s">
        <v>102</v>
      </c>
      <c r="J3028" s="57"/>
      <c r="K3028" s="42">
        <v>58.8</v>
      </c>
      <c r="L3028" s="43"/>
      <c r="M3028" s="43">
        <f>L3028*K3028</f>
        <v>0</v>
      </c>
      <c r="N3028" s="35">
        <v>4690368045391</v>
      </c>
    </row>
    <row r="3029" spans="1:14" ht="24" customHeight="1" outlineLevel="3" x14ac:dyDescent="0.2">
      <c r="A3029" s="45">
        <v>15592</v>
      </c>
      <c r="B3029" s="37" t="str">
        <f>HYPERLINK("http://sedek.ru/upload/iblock/812/tsinoglossum_nebosvod_chernokoren.jpg","фото")</f>
        <v>фото</v>
      </c>
      <c r="C3029" s="38"/>
      <c r="D3029" s="38"/>
      <c r="E3029" s="39"/>
      <c r="F3029" s="39" t="s">
        <v>3702</v>
      </c>
      <c r="G3029" s="44">
        <v>0.5</v>
      </c>
      <c r="H3029" s="39"/>
      <c r="I3029" s="39" t="s">
        <v>102</v>
      </c>
      <c r="J3029" s="41">
        <v>1000</v>
      </c>
      <c r="K3029" s="42">
        <v>21.4</v>
      </c>
      <c r="L3029" s="43"/>
      <c r="M3029" s="43">
        <f>L3029*K3029</f>
        <v>0</v>
      </c>
      <c r="N3029" s="35">
        <v>4607116266649</v>
      </c>
    </row>
    <row r="3030" spans="1:14" ht="36" customHeight="1" outlineLevel="3" x14ac:dyDescent="0.2">
      <c r="A3030" s="45">
        <v>16288</v>
      </c>
      <c r="B3030" s="37" t="str">
        <f>HYPERLINK("http://sedek.ru/upload/iblock/c47/shpinat_grilyazh_zemlyanichnyy.jpg","фото")</f>
        <v>фото</v>
      </c>
      <c r="C3030" s="38"/>
      <c r="D3030" s="38"/>
      <c r="E3030" s="39"/>
      <c r="F3030" s="39" t="s">
        <v>3703</v>
      </c>
      <c r="G3030" s="44">
        <v>0.1</v>
      </c>
      <c r="H3030" s="39" t="s">
        <v>101</v>
      </c>
      <c r="I3030" s="39" t="s">
        <v>102</v>
      </c>
      <c r="J3030" s="41">
        <v>3500</v>
      </c>
      <c r="K3030" s="42">
        <v>21.4</v>
      </c>
      <c r="L3030" s="43"/>
      <c r="M3030" s="43">
        <f>L3030*K3030</f>
        <v>0</v>
      </c>
      <c r="N3030" s="35">
        <v>4607116262337</v>
      </c>
    </row>
    <row r="3031" spans="1:14" ht="24" customHeight="1" outlineLevel="3" x14ac:dyDescent="0.2">
      <c r="A3031" s="45">
        <v>17074</v>
      </c>
      <c r="B3031" s="37" t="str">
        <f>HYPERLINK("http://sedek.ru/upload/iblock/3e0/shtok_roza_aksinya.jpg","фото")</f>
        <v>фото</v>
      </c>
      <c r="C3031" s="38"/>
      <c r="D3031" s="38"/>
      <c r="E3031" s="39"/>
      <c r="F3031" s="39" t="s">
        <v>3704</v>
      </c>
      <c r="G3031" s="44">
        <v>0.1</v>
      </c>
      <c r="H3031" s="39" t="s">
        <v>101</v>
      </c>
      <c r="I3031" s="39" t="s">
        <v>102</v>
      </c>
      <c r="J3031" s="41">
        <v>3000</v>
      </c>
      <c r="K3031" s="42">
        <v>23.35</v>
      </c>
      <c r="L3031" s="43"/>
      <c r="M3031" s="43">
        <f>L3031*K3031</f>
        <v>0</v>
      </c>
      <c r="N3031" s="35">
        <v>4690368022637</v>
      </c>
    </row>
    <row r="3032" spans="1:14" ht="24" customHeight="1" outlineLevel="3" x14ac:dyDescent="0.2">
      <c r="A3032" s="45">
        <v>17072</v>
      </c>
      <c r="B3032" s="37" t="str">
        <f>HYPERLINK("http://sedek.ru/upload/iblock/edf/shtok_roza_arina.jpg","фото")</f>
        <v>фото</v>
      </c>
      <c r="C3032" s="38"/>
      <c r="D3032" s="38"/>
      <c r="E3032" s="39"/>
      <c r="F3032" s="39" t="s">
        <v>3705</v>
      </c>
      <c r="G3032" s="44">
        <v>0.1</v>
      </c>
      <c r="H3032" s="39" t="s">
        <v>101</v>
      </c>
      <c r="I3032" s="39" t="s">
        <v>102</v>
      </c>
      <c r="J3032" s="41">
        <v>3000</v>
      </c>
      <c r="K3032" s="42">
        <v>26.9</v>
      </c>
      <c r="L3032" s="43"/>
      <c r="M3032" s="43">
        <f>L3032*K3032</f>
        <v>0</v>
      </c>
      <c r="N3032" s="35">
        <v>4690368022613</v>
      </c>
    </row>
    <row r="3033" spans="1:14" ht="24" customHeight="1" outlineLevel="3" x14ac:dyDescent="0.2">
      <c r="A3033" s="45">
        <v>17072</v>
      </c>
      <c r="B3033" s="37" t="str">
        <f>HYPERLINK("http://sedek.ru/upload/iblock/edf/shtok_roza_arina.jpg","фото")</f>
        <v>фото</v>
      </c>
      <c r="C3033" s="38"/>
      <c r="D3033" s="38"/>
      <c r="E3033" s="39"/>
      <c r="F3033" s="39" t="s">
        <v>3706</v>
      </c>
      <c r="G3033" s="39"/>
      <c r="H3033" s="39"/>
      <c r="I3033" s="39" t="s">
        <v>102</v>
      </c>
      <c r="J3033" s="41">
        <v>3000</v>
      </c>
      <c r="K3033" s="42">
        <v>26.9</v>
      </c>
      <c r="L3033" s="43"/>
      <c r="M3033" s="43">
        <f>L3033*K3033</f>
        <v>0</v>
      </c>
      <c r="N3033" s="35">
        <v>2000098010293</v>
      </c>
    </row>
    <row r="3034" spans="1:14" ht="36" customHeight="1" outlineLevel="3" x14ac:dyDescent="0.2">
      <c r="A3034" s="45">
        <v>13562</v>
      </c>
      <c r="B3034" s="37" t="str">
        <f>HYPERLINK("http://sedek.ru/upload/iblock/a63/shtok_roza_karnaval.jpg","фото")</f>
        <v>фото</v>
      </c>
      <c r="C3034" s="38"/>
      <c r="D3034" s="38"/>
      <c r="E3034" s="39"/>
      <c r="F3034" s="39" t="s">
        <v>3707</v>
      </c>
      <c r="G3034" s="54">
        <v>0.05</v>
      </c>
      <c r="H3034" s="39"/>
      <c r="I3034" s="39" t="s">
        <v>102</v>
      </c>
      <c r="J3034" s="41">
        <v>3000</v>
      </c>
      <c r="K3034" s="42">
        <v>27.4</v>
      </c>
      <c r="L3034" s="43"/>
      <c r="M3034" s="43">
        <f>L3034*K3034</f>
        <v>0</v>
      </c>
      <c r="N3034" s="35">
        <v>4607116266663</v>
      </c>
    </row>
    <row r="3035" spans="1:14" ht="24" customHeight="1" outlineLevel="3" x14ac:dyDescent="0.2">
      <c r="A3035" s="45">
        <v>14604</v>
      </c>
      <c r="B3035" s="37" t="str">
        <f>HYPERLINK("http://sedek.ru/upload/iblock/0ec/shtok_roza_koroleva_krasoty.jpg","фото")</f>
        <v>фото</v>
      </c>
      <c r="C3035" s="38"/>
      <c r="D3035" s="38"/>
      <c r="E3035" s="39"/>
      <c r="F3035" s="39" t="s">
        <v>3708</v>
      </c>
      <c r="G3035" s="44">
        <v>0.1</v>
      </c>
      <c r="H3035" s="39" t="s">
        <v>101</v>
      </c>
      <c r="I3035" s="39" t="s">
        <v>102</v>
      </c>
      <c r="J3035" s="41">
        <v>3000</v>
      </c>
      <c r="K3035" s="42">
        <v>26.6</v>
      </c>
      <c r="L3035" s="43"/>
      <c r="M3035" s="43">
        <f>L3035*K3035</f>
        <v>0</v>
      </c>
      <c r="N3035" s="35">
        <v>4607116266670</v>
      </c>
    </row>
    <row r="3036" spans="1:14" ht="24" customHeight="1" outlineLevel="3" x14ac:dyDescent="0.2">
      <c r="A3036" s="45">
        <v>17073</v>
      </c>
      <c r="B3036" s="37" t="str">
        <f>HYPERLINK("http://sedek.ru/upload/iblock/017/shtok_roza_krasna_devitsa.jpg","фото")</f>
        <v>фото</v>
      </c>
      <c r="C3036" s="38"/>
      <c r="D3036" s="38"/>
      <c r="E3036" s="39"/>
      <c r="F3036" s="39" t="s">
        <v>3709</v>
      </c>
      <c r="G3036" s="44">
        <v>0.1</v>
      </c>
      <c r="H3036" s="39" t="s">
        <v>101</v>
      </c>
      <c r="I3036" s="39" t="s">
        <v>102</v>
      </c>
      <c r="J3036" s="41">
        <v>3000</v>
      </c>
      <c r="K3036" s="42">
        <v>21.4</v>
      </c>
      <c r="L3036" s="43"/>
      <c r="M3036" s="43">
        <f>L3036*K3036</f>
        <v>0</v>
      </c>
      <c r="N3036" s="35">
        <v>4690368022620</v>
      </c>
    </row>
    <row r="3037" spans="1:14" ht="24" customHeight="1" outlineLevel="3" x14ac:dyDescent="0.2">
      <c r="A3037" s="45">
        <v>17070</v>
      </c>
      <c r="B3037" s="37" t="str">
        <f>HYPERLINK("http://sedek.ru/upload/iblock/3a6/shtok_roza_margarita.jpg","фото")</f>
        <v>фото</v>
      </c>
      <c r="C3037" s="38"/>
      <c r="D3037" s="38"/>
      <c r="E3037" s="39"/>
      <c r="F3037" s="39" t="s">
        <v>3710</v>
      </c>
      <c r="G3037" s="44">
        <v>0.1</v>
      </c>
      <c r="H3037" s="39" t="s">
        <v>101</v>
      </c>
      <c r="I3037" s="39" t="s">
        <v>102</v>
      </c>
      <c r="J3037" s="41">
        <v>3000</v>
      </c>
      <c r="K3037" s="42">
        <v>26.9</v>
      </c>
      <c r="L3037" s="43"/>
      <c r="M3037" s="43">
        <f>L3037*K3037</f>
        <v>0</v>
      </c>
      <c r="N3037" s="35">
        <v>4690368022828</v>
      </c>
    </row>
    <row r="3038" spans="1:14" ht="24" customHeight="1" outlineLevel="3" x14ac:dyDescent="0.2">
      <c r="A3038" s="45">
        <v>17068</v>
      </c>
      <c r="B3038" s="37" t="str">
        <f>HYPERLINK("http://sedek.ru/upload/iblock/ac5/shtok_roza_nika.jpg","фото")</f>
        <v>фото</v>
      </c>
      <c r="C3038" s="38"/>
      <c r="D3038" s="38"/>
      <c r="E3038" s="39"/>
      <c r="F3038" s="39" t="s">
        <v>3711</v>
      </c>
      <c r="G3038" s="44">
        <v>0.1</v>
      </c>
      <c r="H3038" s="39" t="s">
        <v>101</v>
      </c>
      <c r="I3038" s="39" t="s">
        <v>102</v>
      </c>
      <c r="J3038" s="41">
        <v>3000</v>
      </c>
      <c r="K3038" s="42">
        <v>24.9</v>
      </c>
      <c r="L3038" s="43"/>
      <c r="M3038" s="43">
        <f>L3038*K3038</f>
        <v>0</v>
      </c>
      <c r="N3038" s="35">
        <v>4690368022590</v>
      </c>
    </row>
    <row r="3039" spans="1:14" ht="24" customHeight="1" outlineLevel="3" x14ac:dyDescent="0.2">
      <c r="A3039" s="45">
        <v>17067</v>
      </c>
      <c r="B3039" s="37" t="str">
        <f>HYPERLINK("http://www.sedek.ru/upload/iblock/117/shtok_roza_rogneda_belaya.jpg","Фото")</f>
        <v>Фото</v>
      </c>
      <c r="C3039" s="38"/>
      <c r="D3039" s="38"/>
      <c r="E3039" s="39"/>
      <c r="F3039" s="39" t="s">
        <v>3712</v>
      </c>
      <c r="G3039" s="44">
        <v>0.1</v>
      </c>
      <c r="H3039" s="39" t="s">
        <v>101</v>
      </c>
      <c r="I3039" s="39" t="s">
        <v>102</v>
      </c>
      <c r="J3039" s="41">
        <v>3000</v>
      </c>
      <c r="K3039" s="42">
        <v>24.9</v>
      </c>
      <c r="L3039" s="43"/>
      <c r="M3039" s="43">
        <f>L3039*K3039</f>
        <v>0</v>
      </c>
      <c r="N3039" s="35">
        <v>4690368022842</v>
      </c>
    </row>
    <row r="3040" spans="1:14" ht="24" customHeight="1" outlineLevel="3" x14ac:dyDescent="0.2">
      <c r="A3040" s="45">
        <v>14467</v>
      </c>
      <c r="B3040" s="37" t="str">
        <f>HYPERLINK("http://sedek.ru/upload/iblock/b48/shtok_roza_rozina.jpg","фото")</f>
        <v>фото</v>
      </c>
      <c r="C3040" s="38"/>
      <c r="D3040" s="38"/>
      <c r="E3040" s="39"/>
      <c r="F3040" s="39" t="s">
        <v>3713</v>
      </c>
      <c r="G3040" s="44">
        <v>0.1</v>
      </c>
      <c r="H3040" s="39" t="s">
        <v>101</v>
      </c>
      <c r="I3040" s="39" t="s">
        <v>102</v>
      </c>
      <c r="J3040" s="41">
        <v>3000</v>
      </c>
      <c r="K3040" s="42">
        <v>29</v>
      </c>
      <c r="L3040" s="43"/>
      <c r="M3040" s="43">
        <f>L3040*K3040</f>
        <v>0</v>
      </c>
      <c r="N3040" s="35">
        <v>4607116266694</v>
      </c>
    </row>
    <row r="3041" spans="1:14" ht="24" customHeight="1" outlineLevel="3" x14ac:dyDescent="0.2">
      <c r="A3041" s="45">
        <v>17069</v>
      </c>
      <c r="B3041" s="37" t="str">
        <f>HYPERLINK("http://www.sedek.ru/upload/iblock/816/shtok_roza_ustinya_rozovaya.jpg","Фото")</f>
        <v>Фото</v>
      </c>
      <c r="C3041" s="38"/>
      <c r="D3041" s="38"/>
      <c r="E3041" s="39"/>
      <c r="F3041" s="39" t="s">
        <v>3714</v>
      </c>
      <c r="G3041" s="44">
        <v>0.1</v>
      </c>
      <c r="H3041" s="39" t="s">
        <v>101</v>
      </c>
      <c r="I3041" s="39" t="s">
        <v>102</v>
      </c>
      <c r="J3041" s="41">
        <v>3000</v>
      </c>
      <c r="K3041" s="42">
        <v>24.9</v>
      </c>
      <c r="L3041" s="43"/>
      <c r="M3041" s="43">
        <f>L3041*K3041</f>
        <v>0</v>
      </c>
      <c r="N3041" s="35">
        <v>4690368022835</v>
      </c>
    </row>
    <row r="3042" spans="1:14" ht="24" customHeight="1" outlineLevel="3" x14ac:dyDescent="0.2">
      <c r="A3042" s="45">
        <v>15748</v>
      </c>
      <c r="B3042" s="37" t="str">
        <f>HYPERLINK("http://sedek.ru/upload/iblock/a43/shtok_roza_yuzhnaya_noch.jpg","фото")</f>
        <v>фото</v>
      </c>
      <c r="C3042" s="38"/>
      <c r="D3042" s="38"/>
      <c r="E3042" s="39"/>
      <c r="F3042" s="39" t="s">
        <v>3715</v>
      </c>
      <c r="G3042" s="44">
        <v>0.2</v>
      </c>
      <c r="H3042" s="39" t="s">
        <v>101</v>
      </c>
      <c r="I3042" s="39" t="s">
        <v>102</v>
      </c>
      <c r="J3042" s="41">
        <v>3000</v>
      </c>
      <c r="K3042" s="42">
        <v>36.700000000000003</v>
      </c>
      <c r="L3042" s="43"/>
      <c r="M3042" s="43">
        <f>L3042*K3042</f>
        <v>0</v>
      </c>
      <c r="N3042" s="35">
        <v>4607116266717</v>
      </c>
    </row>
    <row r="3043" spans="1:14" ht="36" customHeight="1" outlineLevel="3" x14ac:dyDescent="0.2">
      <c r="A3043" s="45">
        <v>14644</v>
      </c>
      <c r="B3043" s="37" t="str">
        <f>HYPERLINK("http://sedek.ru/upload/iblock/73a/ekkremokarpus_volshebnaya_fleyta_smes.jpg","фото")</f>
        <v>фото</v>
      </c>
      <c r="C3043" s="38"/>
      <c r="D3043" s="38"/>
      <c r="E3043" s="39"/>
      <c r="F3043" s="39" t="s">
        <v>3716</v>
      </c>
      <c r="G3043" s="59">
        <v>2.5000000000000001E-2</v>
      </c>
      <c r="H3043" s="39" t="s">
        <v>101</v>
      </c>
      <c r="I3043" s="39" t="s">
        <v>102</v>
      </c>
      <c r="J3043" s="41">
        <v>5000</v>
      </c>
      <c r="K3043" s="42">
        <v>29</v>
      </c>
      <c r="L3043" s="43"/>
      <c r="M3043" s="43">
        <f>L3043*K3043</f>
        <v>0</v>
      </c>
      <c r="N3043" s="35">
        <v>4607116266731</v>
      </c>
    </row>
    <row r="3044" spans="1:14" ht="24" customHeight="1" outlineLevel="3" x14ac:dyDescent="0.2">
      <c r="A3044" s="45">
        <v>15589</v>
      </c>
      <c r="B3044" s="37" t="str">
        <f>HYPERLINK("http://sedek.ru/upload/iblock/e1c/enotera_volnyy_veter.jpg","фото")</f>
        <v>фото</v>
      </c>
      <c r="C3044" s="38"/>
      <c r="D3044" s="38"/>
      <c r="E3044" s="39"/>
      <c r="F3044" s="39" t="s">
        <v>3717</v>
      </c>
      <c r="G3044" s="44">
        <v>0.1</v>
      </c>
      <c r="H3044" s="39" t="s">
        <v>101</v>
      </c>
      <c r="I3044" s="39" t="s">
        <v>102</v>
      </c>
      <c r="J3044" s="41">
        <v>3000</v>
      </c>
      <c r="K3044" s="42">
        <v>28.2</v>
      </c>
      <c r="L3044" s="43"/>
      <c r="M3044" s="43">
        <f>L3044*K3044</f>
        <v>0</v>
      </c>
      <c r="N3044" s="35">
        <v>4607116266748</v>
      </c>
    </row>
    <row r="3045" spans="1:14" ht="24" customHeight="1" outlineLevel="3" x14ac:dyDescent="0.2">
      <c r="A3045" s="45">
        <v>15823</v>
      </c>
      <c r="B3045" s="37" t="str">
        <f>HYPERLINK("http://sedek.ru/upload/iblock/ffe/enotera_solveyg.jpg","фото")</f>
        <v>фото</v>
      </c>
      <c r="C3045" s="38"/>
      <c r="D3045" s="38"/>
      <c r="E3045" s="39"/>
      <c r="F3045" s="39" t="s">
        <v>3718</v>
      </c>
      <c r="G3045" s="44">
        <v>0.2</v>
      </c>
      <c r="H3045" s="39" t="s">
        <v>101</v>
      </c>
      <c r="I3045" s="39" t="s">
        <v>102</v>
      </c>
      <c r="J3045" s="41">
        <v>3000</v>
      </c>
      <c r="K3045" s="42">
        <v>33.799999999999997</v>
      </c>
      <c r="L3045" s="43"/>
      <c r="M3045" s="43">
        <f>L3045*K3045</f>
        <v>0</v>
      </c>
      <c r="N3045" s="35">
        <v>4607116266755</v>
      </c>
    </row>
    <row r="3046" spans="1:14" ht="24" customHeight="1" outlineLevel="3" x14ac:dyDescent="0.2">
      <c r="A3046" s="45">
        <v>14960</v>
      </c>
      <c r="B3046" s="37" t="str">
        <f>HYPERLINK("http://sedek.ru/upload/iblock/7b3/ekhinotseya_belyy_lebed.jpg","фото")</f>
        <v>фото</v>
      </c>
      <c r="C3046" s="38"/>
      <c r="D3046" s="38"/>
      <c r="E3046" s="39"/>
      <c r="F3046" s="39" t="s">
        <v>3719</v>
      </c>
      <c r="G3046" s="44">
        <v>0.1</v>
      </c>
      <c r="H3046" s="39" t="s">
        <v>101</v>
      </c>
      <c r="I3046" s="39" t="s">
        <v>102</v>
      </c>
      <c r="J3046" s="41">
        <v>2500</v>
      </c>
      <c r="K3046" s="42">
        <v>29.3</v>
      </c>
      <c r="L3046" s="43"/>
      <c r="M3046" s="43">
        <f>L3046*K3046</f>
        <v>0</v>
      </c>
      <c r="N3046" s="35">
        <v>4690368018470</v>
      </c>
    </row>
    <row r="3047" spans="1:14" ht="24" customHeight="1" outlineLevel="3" x14ac:dyDescent="0.2">
      <c r="A3047" s="45">
        <v>14464</v>
      </c>
      <c r="B3047" s="37" t="str">
        <f>HYPERLINK("http://www.sedek.ru/upload/iblock/7fb/ekhinops_fantazer.jpg","фото")</f>
        <v>фото</v>
      </c>
      <c r="C3047" s="38"/>
      <c r="D3047" s="38"/>
      <c r="E3047" s="39"/>
      <c r="F3047" s="39" t="s">
        <v>3720</v>
      </c>
      <c r="G3047" s="44">
        <v>0.1</v>
      </c>
      <c r="H3047" s="39" t="s">
        <v>101</v>
      </c>
      <c r="I3047" s="39" t="s">
        <v>102</v>
      </c>
      <c r="J3047" s="41">
        <v>4000</v>
      </c>
      <c r="K3047" s="42">
        <v>21.4</v>
      </c>
      <c r="L3047" s="43"/>
      <c r="M3047" s="43">
        <f>L3047*K3047</f>
        <v>0</v>
      </c>
      <c r="N3047" s="35">
        <v>4607116266779</v>
      </c>
    </row>
    <row r="3048" spans="1:14" ht="24" customHeight="1" outlineLevel="3" x14ac:dyDescent="0.2">
      <c r="A3048" s="45">
        <v>13734</v>
      </c>
      <c r="B3048" s="37" t="str">
        <f>HYPERLINK("http://sedek.ru/upload/iblock/d07/ekhium_piligrim.jpg","фото")</f>
        <v>фото</v>
      </c>
      <c r="C3048" s="38"/>
      <c r="D3048" s="38"/>
      <c r="E3048" s="39"/>
      <c r="F3048" s="39" t="s">
        <v>3721</v>
      </c>
      <c r="G3048" s="44">
        <v>0.5</v>
      </c>
      <c r="H3048" s="39" t="s">
        <v>101</v>
      </c>
      <c r="I3048" s="39" t="s">
        <v>102</v>
      </c>
      <c r="J3048" s="41">
        <v>2000</v>
      </c>
      <c r="K3048" s="42">
        <v>41.8</v>
      </c>
      <c r="L3048" s="43"/>
      <c r="M3048" s="43">
        <f>L3048*K3048</f>
        <v>0</v>
      </c>
      <c r="N3048" s="35">
        <v>4607116266786</v>
      </c>
    </row>
    <row r="3049" spans="1:14" ht="36" customHeight="1" outlineLevel="3" x14ac:dyDescent="0.2">
      <c r="A3049" s="45">
        <v>16571</v>
      </c>
      <c r="B3049" s="37" t="str">
        <f>HYPERLINK("http://sedek.ru/upload/iblock/6ef/eshsholtsiya_alenkiy_tsvetochek.jpg","фото")</f>
        <v>фото</v>
      </c>
      <c r="C3049" s="38"/>
      <c r="D3049" s="38"/>
      <c r="E3049" s="39"/>
      <c r="F3049" s="39" t="s">
        <v>3722</v>
      </c>
      <c r="G3049" s="54">
        <v>0.06</v>
      </c>
      <c r="H3049" s="39" t="s">
        <v>101</v>
      </c>
      <c r="I3049" s="39" t="s">
        <v>102</v>
      </c>
      <c r="J3049" s="41">
        <v>3000</v>
      </c>
      <c r="K3049" s="42">
        <v>22.4</v>
      </c>
      <c r="L3049" s="43"/>
      <c r="M3049" s="43">
        <f>L3049*K3049</f>
        <v>0</v>
      </c>
      <c r="N3049" s="35">
        <v>4607149404100</v>
      </c>
    </row>
    <row r="3050" spans="1:14" ht="24" customHeight="1" outlineLevel="3" x14ac:dyDescent="0.2">
      <c r="A3050" s="45">
        <v>13740</v>
      </c>
      <c r="B3050" s="37" t="str">
        <f>HYPERLINK("http://sedek.ru/upload/iblock/ab6/eshsholtsiya_atlasnyy_lepestok.jpg","фото")</f>
        <v>фото</v>
      </c>
      <c r="C3050" s="38"/>
      <c r="D3050" s="38"/>
      <c r="E3050" s="39"/>
      <c r="F3050" s="39" t="s">
        <v>3723</v>
      </c>
      <c r="G3050" s="54">
        <v>0.25</v>
      </c>
      <c r="H3050" s="39" t="s">
        <v>101</v>
      </c>
      <c r="I3050" s="39" t="s">
        <v>102</v>
      </c>
      <c r="J3050" s="41">
        <v>3000</v>
      </c>
      <c r="K3050" s="42">
        <v>21.4</v>
      </c>
      <c r="L3050" s="43"/>
      <c r="M3050" s="43">
        <f>L3050*K3050</f>
        <v>0</v>
      </c>
      <c r="N3050" s="35">
        <v>4607116266793</v>
      </c>
    </row>
    <row r="3051" spans="1:14" ht="24" customHeight="1" outlineLevel="3" x14ac:dyDescent="0.2">
      <c r="A3051" s="45">
        <v>17144</v>
      </c>
      <c r="B3051" s="37" t="str">
        <f>HYPERLINK("http://sedek.ru/upload/iblock/227/eshsholtsiya_zemlyanichnaya_polyana.jpg","фото")</f>
        <v>фото</v>
      </c>
      <c r="C3051" s="38"/>
      <c r="D3051" s="38"/>
      <c r="E3051" s="39"/>
      <c r="F3051" s="39" t="s">
        <v>3724</v>
      </c>
      <c r="G3051" s="44">
        <v>0.2</v>
      </c>
      <c r="H3051" s="39" t="s">
        <v>101</v>
      </c>
      <c r="I3051" s="39" t="s">
        <v>102</v>
      </c>
      <c r="J3051" s="41">
        <v>3000</v>
      </c>
      <c r="K3051" s="42">
        <v>21.4</v>
      </c>
      <c r="L3051" s="43"/>
      <c r="M3051" s="43">
        <f>L3051*K3051</f>
        <v>0</v>
      </c>
      <c r="N3051" s="35">
        <v>4690368023160</v>
      </c>
    </row>
    <row r="3052" spans="1:14" ht="36" customHeight="1" outlineLevel="3" x14ac:dyDescent="0.2">
      <c r="A3052" s="45">
        <v>13936</v>
      </c>
      <c r="B3052" s="37" t="str">
        <f>HYPERLINK("http://sedek.ru/upload/iblock/425/eshsholtsiya_san_frantsisko.jpg","фото")</f>
        <v>фото</v>
      </c>
      <c r="C3052" s="38"/>
      <c r="D3052" s="38"/>
      <c r="E3052" s="39"/>
      <c r="F3052" s="39" t="s">
        <v>3725</v>
      </c>
      <c r="G3052" s="54">
        <v>0.25</v>
      </c>
      <c r="H3052" s="39" t="s">
        <v>101</v>
      </c>
      <c r="I3052" s="39" t="s">
        <v>102</v>
      </c>
      <c r="J3052" s="41">
        <v>3000</v>
      </c>
      <c r="K3052" s="42">
        <v>21.4</v>
      </c>
      <c r="L3052" s="43"/>
      <c r="M3052" s="43">
        <f>L3052*K3052</f>
        <v>0</v>
      </c>
      <c r="N3052" s="35">
        <v>4607116266816</v>
      </c>
    </row>
    <row r="3053" spans="1:14" ht="24" customHeight="1" outlineLevel="3" x14ac:dyDescent="0.2">
      <c r="A3053" s="45">
        <v>15108</v>
      </c>
      <c r="B3053" s="37" t="str">
        <f>HYPERLINK("http://sedek.ru/upload/iblock/262/yaskolka_nezhnost.jpg","фото")</f>
        <v>фото</v>
      </c>
      <c r="C3053" s="38"/>
      <c r="D3053" s="38"/>
      <c r="E3053" s="39"/>
      <c r="F3053" s="39" t="s">
        <v>3726</v>
      </c>
      <c r="G3053" s="44">
        <v>0.1</v>
      </c>
      <c r="H3053" s="39" t="s">
        <v>101</v>
      </c>
      <c r="I3053" s="39" t="s">
        <v>102</v>
      </c>
      <c r="J3053" s="41">
        <v>5000</v>
      </c>
      <c r="K3053" s="42">
        <v>24.9</v>
      </c>
      <c r="L3053" s="43"/>
      <c r="M3053" s="43">
        <f>L3053*K3053</f>
        <v>0</v>
      </c>
      <c r="N3053" s="35">
        <v>4607116266830</v>
      </c>
    </row>
    <row r="3054" spans="1:14" ht="12" customHeight="1" outlineLevel="2" x14ac:dyDescent="0.2">
      <c r="A3054" s="22"/>
      <c r="B3054" s="23"/>
      <c r="C3054" s="23"/>
      <c r="D3054" s="23"/>
      <c r="E3054" s="24"/>
      <c r="F3054" s="24" t="s">
        <v>3727</v>
      </c>
      <c r="G3054" s="24"/>
      <c r="H3054" s="24"/>
      <c r="I3054" s="24"/>
      <c r="J3054" s="24"/>
      <c r="K3054" s="24"/>
      <c r="L3054" s="24"/>
      <c r="M3054" s="24"/>
      <c r="N3054" s="25"/>
    </row>
    <row r="3055" spans="1:14" ht="36" customHeight="1" outlineLevel="3" x14ac:dyDescent="0.2">
      <c r="A3055" s="36" t="s">
        <v>3728</v>
      </c>
      <c r="B3055" s="37" t="str">
        <f>HYPERLINK("http://www.sedek.ru/upload/iblock/96e/shpinat_azhur.jpg","фото")</f>
        <v>фото</v>
      </c>
      <c r="C3055" s="38" t="s">
        <v>266</v>
      </c>
      <c r="D3055" s="38" t="s">
        <v>266</v>
      </c>
      <c r="E3055" s="39" t="s">
        <v>263</v>
      </c>
      <c r="F3055" s="39" t="s">
        <v>3729</v>
      </c>
      <c r="G3055" s="40">
        <v>2</v>
      </c>
      <c r="H3055" s="39" t="s">
        <v>101</v>
      </c>
      <c r="I3055" s="39" t="s">
        <v>102</v>
      </c>
      <c r="J3055" s="41">
        <v>1500</v>
      </c>
      <c r="K3055" s="42">
        <v>18.600000000000001</v>
      </c>
      <c r="L3055" s="43"/>
      <c r="M3055" s="43">
        <f>L3055*K3055</f>
        <v>0</v>
      </c>
      <c r="N3055" s="35">
        <v>4690368035156</v>
      </c>
    </row>
    <row r="3056" spans="1:14" ht="36" customHeight="1" outlineLevel="3" x14ac:dyDescent="0.2">
      <c r="A3056" s="45">
        <v>14227</v>
      </c>
      <c r="B3056" s="37" t="str">
        <f>HYPERLINK("http://www.sedek.ru/upload/iblock/e0a/shpinat_zhirnolistnyy.jpg","фото")</f>
        <v>фото</v>
      </c>
      <c r="C3056" s="38"/>
      <c r="D3056" s="38"/>
      <c r="E3056" s="39"/>
      <c r="F3056" s="39" t="s">
        <v>3730</v>
      </c>
      <c r="G3056" s="40">
        <v>2</v>
      </c>
      <c r="H3056" s="39" t="s">
        <v>101</v>
      </c>
      <c r="I3056" s="39" t="s">
        <v>102</v>
      </c>
      <c r="J3056" s="41">
        <v>1500</v>
      </c>
      <c r="K3056" s="42">
        <v>15.6</v>
      </c>
      <c r="L3056" s="43"/>
      <c r="M3056" s="43">
        <f>L3056*K3056</f>
        <v>0</v>
      </c>
      <c r="N3056" s="35">
        <v>4607149401017</v>
      </c>
    </row>
    <row r="3057" spans="1:14" ht="36" customHeight="1" outlineLevel="3" x14ac:dyDescent="0.2">
      <c r="A3057" s="45">
        <v>14227</v>
      </c>
      <c r="B3057" s="37" t="str">
        <f>HYPERLINK("http://www.sedek.ru/upload/iblock/e0a/shpinat_zhirnolistnyy.jpg","фото")</f>
        <v>фото</v>
      </c>
      <c r="C3057" s="38"/>
      <c r="D3057" s="38"/>
      <c r="E3057" s="39"/>
      <c r="F3057" s="39" t="s">
        <v>3731</v>
      </c>
      <c r="G3057" s="40">
        <v>2</v>
      </c>
      <c r="H3057" s="39" t="s">
        <v>101</v>
      </c>
      <c r="I3057" s="39" t="s">
        <v>287</v>
      </c>
      <c r="J3057" s="41">
        <v>1500</v>
      </c>
      <c r="K3057" s="42">
        <v>8.4</v>
      </c>
      <c r="L3057" s="43"/>
      <c r="M3057" s="43">
        <f>L3057*K3057</f>
        <v>0</v>
      </c>
      <c r="N3057" s="35">
        <v>4690368005609</v>
      </c>
    </row>
    <row r="3058" spans="1:14" ht="36" customHeight="1" outlineLevel="3" x14ac:dyDescent="0.2">
      <c r="A3058" s="45">
        <v>13982</v>
      </c>
      <c r="B3058" s="37" t="str">
        <f>HYPERLINK("http://sedek.ru/upload/iblock/d35/shpinat_zastolnyy.jpg","фото")</f>
        <v>фото</v>
      </c>
      <c r="C3058" s="38"/>
      <c r="D3058" s="38"/>
      <c r="E3058" s="39"/>
      <c r="F3058" s="39" t="s">
        <v>3732</v>
      </c>
      <c r="G3058" s="40">
        <v>2</v>
      </c>
      <c r="H3058" s="39" t="s">
        <v>101</v>
      </c>
      <c r="I3058" s="39" t="s">
        <v>102</v>
      </c>
      <c r="J3058" s="41">
        <v>1500</v>
      </c>
      <c r="K3058" s="42">
        <v>20</v>
      </c>
      <c r="L3058" s="43"/>
      <c r="M3058" s="43">
        <f>L3058*K3058</f>
        <v>0</v>
      </c>
      <c r="N3058" s="35">
        <v>4607149405350</v>
      </c>
    </row>
    <row r="3059" spans="1:14" ht="36" customHeight="1" outlineLevel="3" x14ac:dyDescent="0.2">
      <c r="A3059" s="45">
        <v>15248</v>
      </c>
      <c r="B3059" s="37" t="str">
        <f>HYPERLINK("http://www.sedek.ru/upload/iblock/ac3/shpinat_ispolinskiy.jpg","фото")</f>
        <v>фото</v>
      </c>
      <c r="C3059" s="38"/>
      <c r="D3059" s="38"/>
      <c r="E3059" s="39"/>
      <c r="F3059" s="39" t="s">
        <v>3733</v>
      </c>
      <c r="G3059" s="40">
        <v>2</v>
      </c>
      <c r="H3059" s="39" t="s">
        <v>101</v>
      </c>
      <c r="I3059" s="39" t="s">
        <v>102</v>
      </c>
      <c r="J3059" s="41">
        <v>1500</v>
      </c>
      <c r="K3059" s="42">
        <v>18.8</v>
      </c>
      <c r="L3059" s="43"/>
      <c r="M3059" s="43">
        <f>L3059*K3059</f>
        <v>0</v>
      </c>
      <c r="N3059" s="35">
        <v>4690368010108</v>
      </c>
    </row>
    <row r="3060" spans="1:14" ht="36" customHeight="1" outlineLevel="3" x14ac:dyDescent="0.2">
      <c r="A3060" s="45">
        <v>15248</v>
      </c>
      <c r="B3060" s="37" t="str">
        <f>HYPERLINK("http://www.sedek.ru/upload/iblock/ac3/shpinat_ispolinskiy.jpg","фото")</f>
        <v>фото</v>
      </c>
      <c r="C3060" s="38"/>
      <c r="D3060" s="38"/>
      <c r="E3060" s="39"/>
      <c r="F3060" s="39" t="s">
        <v>3734</v>
      </c>
      <c r="G3060" s="40">
        <v>2</v>
      </c>
      <c r="H3060" s="39" t="s">
        <v>101</v>
      </c>
      <c r="I3060" s="39" t="s">
        <v>287</v>
      </c>
      <c r="J3060" s="41">
        <v>1500</v>
      </c>
      <c r="K3060" s="42">
        <v>7.8</v>
      </c>
      <c r="L3060" s="43"/>
      <c r="M3060" s="43">
        <f>L3060*K3060</f>
        <v>0</v>
      </c>
      <c r="N3060" s="35">
        <v>4690368012294</v>
      </c>
    </row>
    <row r="3061" spans="1:14" ht="36" customHeight="1" outlineLevel="3" x14ac:dyDescent="0.2">
      <c r="A3061" s="45">
        <v>16139</v>
      </c>
      <c r="B3061" s="37" t="str">
        <f>HYPERLINK("http://sedek.ru/upload/iblock/397/shpinat_markiza.jpg","фото")</f>
        <v>фото</v>
      </c>
      <c r="C3061" s="38"/>
      <c r="D3061" s="38"/>
      <c r="E3061" s="39"/>
      <c r="F3061" s="39" t="s">
        <v>3735</v>
      </c>
      <c r="G3061" s="40">
        <v>2</v>
      </c>
      <c r="H3061" s="39" t="s">
        <v>101</v>
      </c>
      <c r="I3061" s="39" t="s">
        <v>102</v>
      </c>
      <c r="J3061" s="41">
        <v>1500</v>
      </c>
      <c r="K3061" s="42">
        <v>20</v>
      </c>
      <c r="L3061" s="43"/>
      <c r="M3061" s="43">
        <f>L3061*K3061</f>
        <v>0</v>
      </c>
      <c r="N3061" s="35">
        <v>4607116262351</v>
      </c>
    </row>
    <row r="3062" spans="1:14" ht="24" customHeight="1" outlineLevel="3" x14ac:dyDescent="0.2">
      <c r="A3062" s="45">
        <v>14233</v>
      </c>
      <c r="B3062" s="37" t="str">
        <f>HYPERLINK("http://www.sedek.ru/upload/iblock/7b2/shpinat_matador.jpg","фото")</f>
        <v>фото</v>
      </c>
      <c r="C3062" s="38"/>
      <c r="D3062" s="38"/>
      <c r="E3062" s="39"/>
      <c r="F3062" s="39" t="s">
        <v>3736</v>
      </c>
      <c r="G3062" s="40">
        <v>2</v>
      </c>
      <c r="H3062" s="39" t="s">
        <v>101</v>
      </c>
      <c r="I3062" s="39" t="s">
        <v>102</v>
      </c>
      <c r="J3062" s="41">
        <v>1500</v>
      </c>
      <c r="K3062" s="42">
        <v>16.899999999999999</v>
      </c>
      <c r="L3062" s="43"/>
      <c r="M3062" s="43">
        <f>L3062*K3062</f>
        <v>0</v>
      </c>
      <c r="N3062" s="35">
        <v>4607116262368</v>
      </c>
    </row>
    <row r="3063" spans="1:14" ht="24" customHeight="1" outlineLevel="3" x14ac:dyDescent="0.2">
      <c r="A3063" s="45">
        <v>14233</v>
      </c>
      <c r="B3063" s="37" t="str">
        <f>HYPERLINK("http://www.sedek.ru/upload/iblock/7b2/shpinat_matador.jpg","фото")</f>
        <v>фото</v>
      </c>
      <c r="C3063" s="38"/>
      <c r="D3063" s="38"/>
      <c r="E3063" s="39"/>
      <c r="F3063" s="39" t="s">
        <v>3737</v>
      </c>
      <c r="G3063" s="40">
        <v>2</v>
      </c>
      <c r="H3063" s="39" t="s">
        <v>101</v>
      </c>
      <c r="I3063" s="39" t="s">
        <v>287</v>
      </c>
      <c r="J3063" s="41">
        <v>1500</v>
      </c>
      <c r="K3063" s="42">
        <v>6.5</v>
      </c>
      <c r="L3063" s="43"/>
      <c r="M3063" s="43">
        <f>L3063*K3063</f>
        <v>0</v>
      </c>
      <c r="N3063" s="35">
        <v>4690368006682</v>
      </c>
    </row>
    <row r="3064" spans="1:14" ht="36" customHeight="1" outlineLevel="3" x14ac:dyDescent="0.2">
      <c r="A3064" s="46">
        <v>16062</v>
      </c>
      <c r="B3064" s="47" t="str">
        <f>HYPERLINK("http://sedek.ru/upload/iblock/375/shpinat_novozelandskiy.jpg","фото")</f>
        <v>фото</v>
      </c>
      <c r="C3064" s="48"/>
      <c r="D3064" s="48"/>
      <c r="E3064" s="49"/>
      <c r="F3064" s="49" t="s">
        <v>3738</v>
      </c>
      <c r="G3064" s="50">
        <v>1</v>
      </c>
      <c r="H3064" s="49" t="s">
        <v>101</v>
      </c>
      <c r="I3064" s="49" t="s">
        <v>102</v>
      </c>
      <c r="J3064" s="51">
        <v>1500</v>
      </c>
      <c r="K3064" s="52">
        <v>19</v>
      </c>
      <c r="L3064" s="53"/>
      <c r="M3064" s="53">
        <f>L3064*K3064</f>
        <v>0</v>
      </c>
      <c r="N3064" s="35">
        <v>4690368010092</v>
      </c>
    </row>
    <row r="3065" spans="1:14" ht="36" customHeight="1" outlineLevel="3" x14ac:dyDescent="0.2">
      <c r="A3065" s="45">
        <v>14647</v>
      </c>
      <c r="B3065" s="37" t="str">
        <f>HYPERLINK("http://sedek.ru/upload/iblock/eae/shpinat_povar_misha.jpg","фото")</f>
        <v>фото</v>
      </c>
      <c r="C3065" s="38"/>
      <c r="D3065" s="38"/>
      <c r="E3065" s="39"/>
      <c r="F3065" s="39" t="s">
        <v>3739</v>
      </c>
      <c r="G3065" s="40">
        <v>2</v>
      </c>
      <c r="H3065" s="39" t="s">
        <v>101</v>
      </c>
      <c r="I3065" s="39" t="s">
        <v>102</v>
      </c>
      <c r="J3065" s="41">
        <v>1500</v>
      </c>
      <c r="K3065" s="42">
        <v>20</v>
      </c>
      <c r="L3065" s="43"/>
      <c r="M3065" s="43">
        <f>L3065*K3065</f>
        <v>0</v>
      </c>
      <c r="N3065" s="35">
        <v>4690368012645</v>
      </c>
    </row>
    <row r="3066" spans="1:14" ht="12" customHeight="1" outlineLevel="2" x14ac:dyDescent="0.2">
      <c r="A3066" s="22"/>
      <c r="B3066" s="23"/>
      <c r="C3066" s="23"/>
      <c r="D3066" s="23"/>
      <c r="E3066" s="24"/>
      <c r="F3066" s="24" t="s">
        <v>3740</v>
      </c>
      <c r="G3066" s="24"/>
      <c r="H3066" s="24"/>
      <c r="I3066" s="24"/>
      <c r="J3066" s="24"/>
      <c r="K3066" s="24"/>
      <c r="L3066" s="24"/>
      <c r="M3066" s="24"/>
      <c r="N3066" s="25"/>
    </row>
    <row r="3067" spans="1:14" ht="24" customHeight="1" outlineLevel="3" x14ac:dyDescent="0.2">
      <c r="A3067" s="45">
        <v>16156</v>
      </c>
      <c r="B3067" s="37" t="str">
        <f>HYPERLINK("http://www.sedek.ru/upload/iblock/51a/shchavel_belvilskiy.jpg","фото")</f>
        <v>фото</v>
      </c>
      <c r="C3067" s="38"/>
      <c r="D3067" s="38"/>
      <c r="E3067" s="39"/>
      <c r="F3067" s="39" t="s">
        <v>3741</v>
      </c>
      <c r="G3067" s="44">
        <v>0.5</v>
      </c>
      <c r="H3067" s="39" t="s">
        <v>101</v>
      </c>
      <c r="I3067" s="39" t="s">
        <v>102</v>
      </c>
      <c r="J3067" s="41">
        <v>3000</v>
      </c>
      <c r="K3067" s="42">
        <v>16.899999999999999</v>
      </c>
      <c r="L3067" s="43"/>
      <c r="M3067" s="43">
        <f>L3067*K3067</f>
        <v>0</v>
      </c>
      <c r="N3067" s="35">
        <v>4607149401765</v>
      </c>
    </row>
    <row r="3068" spans="1:14" ht="24" customHeight="1" outlineLevel="3" x14ac:dyDescent="0.2">
      <c r="A3068" s="45">
        <v>16156</v>
      </c>
      <c r="B3068" s="37" t="str">
        <f>HYPERLINK("http://www.sedek.ru/upload/iblock/51a/shchavel_belvilskiy.jpg","фото")</f>
        <v>фото</v>
      </c>
      <c r="C3068" s="38"/>
      <c r="D3068" s="38"/>
      <c r="E3068" s="39"/>
      <c r="F3068" s="39" t="s">
        <v>3742</v>
      </c>
      <c r="G3068" s="44">
        <v>0.5</v>
      </c>
      <c r="H3068" s="39" t="s">
        <v>101</v>
      </c>
      <c r="I3068" s="39" t="s">
        <v>287</v>
      </c>
      <c r="J3068" s="41">
        <v>3000</v>
      </c>
      <c r="K3068" s="42">
        <v>7.8</v>
      </c>
      <c r="L3068" s="43"/>
      <c r="M3068" s="43">
        <f>L3068*K3068</f>
        <v>0</v>
      </c>
      <c r="N3068" s="35">
        <v>4607149402755</v>
      </c>
    </row>
    <row r="3069" spans="1:14" ht="24" customHeight="1" outlineLevel="3" x14ac:dyDescent="0.2">
      <c r="A3069" s="45">
        <v>14834</v>
      </c>
      <c r="B3069" s="37" t="str">
        <f>HYPERLINK("http://www.sedek.ru/upload/iblock/0f8/shchavel_vysokogornyy.jpg","фото")</f>
        <v>фото</v>
      </c>
      <c r="C3069" s="38"/>
      <c r="D3069" s="38"/>
      <c r="E3069" s="39"/>
      <c r="F3069" s="39" t="s">
        <v>3743</v>
      </c>
      <c r="G3069" s="44">
        <v>0.3</v>
      </c>
      <c r="H3069" s="39" t="s">
        <v>101</v>
      </c>
      <c r="I3069" s="39" t="s">
        <v>102</v>
      </c>
      <c r="J3069" s="41">
        <v>3000</v>
      </c>
      <c r="K3069" s="42">
        <v>22.3</v>
      </c>
      <c r="L3069" s="43"/>
      <c r="M3069" s="43">
        <f>L3069*K3069</f>
        <v>0</v>
      </c>
      <c r="N3069" s="35">
        <v>4690368017039</v>
      </c>
    </row>
    <row r="3070" spans="1:14" ht="24" customHeight="1" outlineLevel="3" x14ac:dyDescent="0.2">
      <c r="A3070" s="45">
        <v>13598</v>
      </c>
      <c r="B3070" s="37" t="str">
        <f>HYPERLINK("http://www.sedek.ru/upload/iblock/d44/shchavel_krupnolistnyy.jpg","фото")</f>
        <v>фото</v>
      </c>
      <c r="C3070" s="38"/>
      <c r="D3070" s="38"/>
      <c r="E3070" s="39"/>
      <c r="F3070" s="39" t="s">
        <v>3744</v>
      </c>
      <c r="G3070" s="44">
        <v>0.5</v>
      </c>
      <c r="H3070" s="39" t="s">
        <v>101</v>
      </c>
      <c r="I3070" s="39" t="s">
        <v>102</v>
      </c>
      <c r="J3070" s="41">
        <v>3000</v>
      </c>
      <c r="K3070" s="42">
        <v>16.899999999999999</v>
      </c>
      <c r="L3070" s="43"/>
      <c r="M3070" s="43">
        <f>L3070*K3070</f>
        <v>0</v>
      </c>
      <c r="N3070" s="35">
        <v>4607149405336</v>
      </c>
    </row>
    <row r="3071" spans="1:14" ht="24" customHeight="1" outlineLevel="3" x14ac:dyDescent="0.2">
      <c r="A3071" s="45">
        <v>13598</v>
      </c>
      <c r="B3071" s="37" t="str">
        <f>HYPERLINK("http://www.sedek.ru/upload/iblock/d44/shchavel_krupnolistnyy.jpg","фото")</f>
        <v>фото</v>
      </c>
      <c r="C3071" s="38"/>
      <c r="D3071" s="38"/>
      <c r="E3071" s="39"/>
      <c r="F3071" s="39" t="s">
        <v>3745</v>
      </c>
      <c r="G3071" s="44">
        <v>0.5</v>
      </c>
      <c r="H3071" s="39" t="s">
        <v>101</v>
      </c>
      <c r="I3071" s="39" t="s">
        <v>287</v>
      </c>
      <c r="J3071" s="41">
        <v>3000</v>
      </c>
      <c r="K3071" s="42">
        <v>8.1</v>
      </c>
      <c r="L3071" s="43"/>
      <c r="M3071" s="43">
        <f>L3071*K3071</f>
        <v>0</v>
      </c>
      <c r="N3071" s="35">
        <v>4690368004756</v>
      </c>
    </row>
    <row r="3072" spans="1:14" ht="24" customHeight="1" outlineLevel="3" x14ac:dyDescent="0.2">
      <c r="A3072" s="45">
        <v>14379</v>
      </c>
      <c r="B3072" s="37" t="str">
        <f>HYPERLINK("http://sedek.ru/upload/iblock/622/shchavel_russkie_shchi.jpg","фото")</f>
        <v>фото</v>
      </c>
      <c r="C3072" s="38"/>
      <c r="D3072" s="38" t="s">
        <v>266</v>
      </c>
      <c r="E3072" s="39"/>
      <c r="F3072" s="39" t="s">
        <v>3746</v>
      </c>
      <c r="G3072" s="44">
        <v>0.5</v>
      </c>
      <c r="H3072" s="39" t="s">
        <v>101</v>
      </c>
      <c r="I3072" s="39" t="s">
        <v>102</v>
      </c>
      <c r="J3072" s="41">
        <v>3000</v>
      </c>
      <c r="K3072" s="42">
        <v>22.3</v>
      </c>
      <c r="L3072" s="43"/>
      <c r="M3072" s="43">
        <f>L3072*K3072</f>
        <v>0</v>
      </c>
      <c r="N3072" s="35">
        <v>4607149405343</v>
      </c>
    </row>
    <row r="3073" spans="1:14" ht="24" customHeight="1" outlineLevel="3" x14ac:dyDescent="0.2">
      <c r="A3073" s="45">
        <v>15576</v>
      </c>
      <c r="B3073" s="37" t="str">
        <f>HYPERLINK("http://sedek.ru/upload/iblock/6dc/shchavel_tolstolistnyy.jpg","фото")</f>
        <v>фото</v>
      </c>
      <c r="C3073" s="38"/>
      <c r="D3073" s="38"/>
      <c r="E3073" s="39"/>
      <c r="F3073" s="39" t="s">
        <v>3747</v>
      </c>
      <c r="G3073" s="44">
        <v>0.5</v>
      </c>
      <c r="H3073" s="39" t="s">
        <v>101</v>
      </c>
      <c r="I3073" s="39" t="s">
        <v>102</v>
      </c>
      <c r="J3073" s="41">
        <v>3000</v>
      </c>
      <c r="K3073" s="42">
        <v>21.1</v>
      </c>
      <c r="L3073" s="43"/>
      <c r="M3073" s="43">
        <f>L3073*K3073</f>
        <v>0</v>
      </c>
      <c r="N3073" s="35">
        <v>4607116262375</v>
      </c>
    </row>
    <row r="3074" spans="1:14" ht="24" customHeight="1" outlineLevel="3" x14ac:dyDescent="0.2">
      <c r="A3074" s="45">
        <v>15576</v>
      </c>
      <c r="B3074" s="37" t="str">
        <f>HYPERLINK("http://sedek.ru/upload/iblock/6dc/shchavel_tolstolistnyy.jpg","фото")</f>
        <v>фото</v>
      </c>
      <c r="C3074" s="38"/>
      <c r="D3074" s="38"/>
      <c r="E3074" s="39"/>
      <c r="F3074" s="39" t="s">
        <v>3748</v>
      </c>
      <c r="G3074" s="44">
        <v>0.5</v>
      </c>
      <c r="H3074" s="39" t="s">
        <v>101</v>
      </c>
      <c r="I3074" s="39" t="s">
        <v>287</v>
      </c>
      <c r="J3074" s="41">
        <v>3000</v>
      </c>
      <c r="K3074" s="42">
        <v>8.1</v>
      </c>
      <c r="L3074" s="43"/>
      <c r="M3074" s="43">
        <f>L3074*K3074</f>
        <v>0</v>
      </c>
      <c r="N3074" s="35">
        <v>4607149403011</v>
      </c>
    </row>
    <row r="3075" spans="1:14" ht="36" customHeight="1" outlineLevel="3" x14ac:dyDescent="0.2">
      <c r="A3075" s="45">
        <v>17176</v>
      </c>
      <c r="B3075" s="37" t="str">
        <f>HYPERLINK("http://www.sedek.ru/upload/iblock/6f4/shchavel_trapeza.jpg","Фото")</f>
        <v>Фото</v>
      </c>
      <c r="C3075" s="38"/>
      <c r="D3075" s="38"/>
      <c r="E3075" s="39"/>
      <c r="F3075" s="39" t="s">
        <v>3749</v>
      </c>
      <c r="G3075" s="44">
        <v>0.5</v>
      </c>
      <c r="H3075" s="39" t="s">
        <v>101</v>
      </c>
      <c r="I3075" s="39" t="s">
        <v>102</v>
      </c>
      <c r="J3075" s="41">
        <v>3000</v>
      </c>
      <c r="K3075" s="42">
        <v>22.3</v>
      </c>
      <c r="L3075" s="43"/>
      <c r="M3075" s="43">
        <f>L3075*K3075</f>
        <v>0</v>
      </c>
      <c r="N3075" s="35">
        <v>4690368026062</v>
      </c>
    </row>
    <row r="3076" spans="1:14" ht="24" customHeight="1" outlineLevel="3" x14ac:dyDescent="0.2">
      <c r="A3076" s="46">
        <v>15877</v>
      </c>
      <c r="B3076" s="47" t="str">
        <f>HYPERLINK("http://sedek.ru/upload/iblock/994/shchavel_chempion.jpg","фото")</f>
        <v>фото</v>
      </c>
      <c r="C3076" s="48"/>
      <c r="D3076" s="48"/>
      <c r="E3076" s="49"/>
      <c r="F3076" s="49" t="s">
        <v>3750</v>
      </c>
      <c r="G3076" s="56">
        <v>0.5</v>
      </c>
      <c r="H3076" s="49" t="s">
        <v>101</v>
      </c>
      <c r="I3076" s="49" t="s">
        <v>102</v>
      </c>
      <c r="J3076" s="51">
        <v>3000</v>
      </c>
      <c r="K3076" s="52">
        <v>16.100000000000001</v>
      </c>
      <c r="L3076" s="53"/>
      <c r="M3076" s="53">
        <f>L3076*K3076</f>
        <v>0</v>
      </c>
      <c r="N3076" s="35">
        <v>4690368010115</v>
      </c>
    </row>
    <row r="3077" spans="1:14" ht="36" customHeight="1" outlineLevel="3" x14ac:dyDescent="0.2">
      <c r="A3077" s="46">
        <v>15544</v>
      </c>
      <c r="B3077" s="47" t="str">
        <f>HYPERLINK("http://sedek.ru/upload/iblock/71a/shchavel_shirokolistnyy.jpg","фото")</f>
        <v>фото</v>
      </c>
      <c r="C3077" s="48"/>
      <c r="D3077" s="48"/>
      <c r="E3077" s="49"/>
      <c r="F3077" s="49" t="s">
        <v>3751</v>
      </c>
      <c r="G3077" s="56">
        <v>0.5</v>
      </c>
      <c r="H3077" s="49" t="s">
        <v>101</v>
      </c>
      <c r="I3077" s="49" t="s">
        <v>102</v>
      </c>
      <c r="J3077" s="51">
        <v>3000</v>
      </c>
      <c r="K3077" s="52">
        <v>16.100000000000001</v>
      </c>
      <c r="L3077" s="53"/>
      <c r="M3077" s="53">
        <f>L3077*K3077</f>
        <v>0</v>
      </c>
      <c r="N3077" s="35">
        <v>4607149401772</v>
      </c>
    </row>
    <row r="3078" spans="1:14" ht="24" customHeight="1" outlineLevel="3" x14ac:dyDescent="0.2">
      <c r="A3078" s="71">
        <v>15544</v>
      </c>
      <c r="B3078" s="72" t="str">
        <f>HYPERLINK("http://sedek.ru/upload/iblock/71a/shchavel_shirokolistnyy.jpg","фото")</f>
        <v>фото</v>
      </c>
      <c r="C3078" s="73"/>
      <c r="D3078" s="73"/>
      <c r="E3078" s="74"/>
      <c r="F3078" s="74" t="s">
        <v>3752</v>
      </c>
      <c r="G3078" s="80">
        <v>0.5</v>
      </c>
      <c r="H3078" s="74" t="s">
        <v>101</v>
      </c>
      <c r="I3078" s="74" t="s">
        <v>287</v>
      </c>
      <c r="J3078" s="76">
        <v>3000</v>
      </c>
      <c r="K3078" s="77">
        <v>8.1</v>
      </c>
      <c r="L3078" s="78"/>
      <c r="M3078" s="78">
        <f>L3078*K3078</f>
        <v>0</v>
      </c>
      <c r="N3078" s="79">
        <v>4690368004770</v>
      </c>
    </row>
    <row r="3079" spans="1:14" ht="12" customHeight="1" outlineLevel="2" x14ac:dyDescent="0.2">
      <c r="A3079" s="22"/>
      <c r="B3079" s="23"/>
      <c r="C3079" s="23"/>
      <c r="D3079" s="23"/>
      <c r="E3079" s="24"/>
      <c r="F3079" s="24" t="s">
        <v>3753</v>
      </c>
      <c r="G3079" s="24"/>
      <c r="H3079" s="24"/>
      <c r="I3079" s="24"/>
      <c r="J3079" s="24"/>
      <c r="K3079" s="24"/>
      <c r="L3079" s="24"/>
      <c r="M3079" s="24"/>
      <c r="N3079" s="25"/>
    </row>
    <row r="3080" spans="1:14" ht="36" customHeight="1" outlineLevel="3" x14ac:dyDescent="0.2">
      <c r="A3080" s="45">
        <v>15854</v>
      </c>
      <c r="B3080" s="37" t="str">
        <f>HYPERLINK("http://sedek.ru/upload/iblock/725/brusnika_korall.jpg","фото")</f>
        <v>фото</v>
      </c>
      <c r="C3080" s="38"/>
      <c r="D3080" s="38" t="s">
        <v>266</v>
      </c>
      <c r="E3080" s="39"/>
      <c r="F3080" s="39" t="s">
        <v>3754</v>
      </c>
      <c r="G3080" s="54">
        <v>0.05</v>
      </c>
      <c r="H3080" s="39" t="s">
        <v>101</v>
      </c>
      <c r="I3080" s="39" t="s">
        <v>102</v>
      </c>
      <c r="J3080" s="41">
        <v>5000</v>
      </c>
      <c r="K3080" s="42">
        <v>94.2</v>
      </c>
      <c r="L3080" s="43"/>
      <c r="M3080" s="43">
        <f>L3080*K3080</f>
        <v>0</v>
      </c>
      <c r="N3080" s="35">
        <v>4690368009270</v>
      </c>
    </row>
    <row r="3081" spans="1:14" ht="36" customHeight="1" outlineLevel="3" x14ac:dyDescent="0.2">
      <c r="A3081" s="45">
        <v>14698</v>
      </c>
      <c r="B3081" s="37" t="str">
        <f>HYPERLINK("http://sedek.ru/upload/iblock/548/golubika_kanadskaya_nektarnaya.jpg","фото")</f>
        <v>фото</v>
      </c>
      <c r="C3081" s="38"/>
      <c r="D3081" s="38"/>
      <c r="E3081" s="39"/>
      <c r="F3081" s="39" t="s">
        <v>3755</v>
      </c>
      <c r="G3081" s="54">
        <v>0.05</v>
      </c>
      <c r="H3081" s="39" t="s">
        <v>101</v>
      </c>
      <c r="I3081" s="39" t="s">
        <v>102</v>
      </c>
      <c r="J3081" s="41">
        <v>5000</v>
      </c>
      <c r="K3081" s="42">
        <v>94.2</v>
      </c>
      <c r="L3081" s="43"/>
      <c r="M3081" s="43">
        <f>L3081*K3081</f>
        <v>0</v>
      </c>
      <c r="N3081" s="35">
        <v>4690368028264</v>
      </c>
    </row>
    <row r="3082" spans="1:14" ht="36" customHeight="1" outlineLevel="3" x14ac:dyDescent="0.2">
      <c r="A3082" s="36" t="s">
        <v>3756</v>
      </c>
      <c r="B3082" s="37" t="str">
        <f>HYPERLINK("http://sedek.ru/upload/iblock/fbd/ezhevika_agavam.jpg","фото")</f>
        <v>фото</v>
      </c>
      <c r="C3082" s="38"/>
      <c r="D3082" s="38" t="s">
        <v>266</v>
      </c>
      <c r="E3082" s="39"/>
      <c r="F3082" s="39" t="s">
        <v>3757</v>
      </c>
      <c r="G3082" s="54">
        <v>0.05</v>
      </c>
      <c r="H3082" s="39" t="s">
        <v>101</v>
      </c>
      <c r="I3082" s="39" t="s">
        <v>102</v>
      </c>
      <c r="J3082" s="41">
        <v>5000</v>
      </c>
      <c r="K3082" s="42">
        <v>32.299999999999997</v>
      </c>
      <c r="L3082" s="43"/>
      <c r="M3082" s="43">
        <f>L3082*K3082</f>
        <v>0</v>
      </c>
      <c r="N3082" s="35">
        <v>4690368026901</v>
      </c>
    </row>
    <row r="3083" spans="1:14" ht="36" customHeight="1" outlineLevel="3" x14ac:dyDescent="0.2">
      <c r="A3083" s="45">
        <v>13506</v>
      </c>
      <c r="B3083" s="37" t="str">
        <f>HYPERLINK("http://sedek.ru/upload/iblock/4f0/klyukva_koroleva_sada.jpg","фото")</f>
        <v>фото</v>
      </c>
      <c r="C3083" s="38"/>
      <c r="D3083" s="38"/>
      <c r="E3083" s="39"/>
      <c r="F3083" s="39" t="s">
        <v>3758</v>
      </c>
      <c r="G3083" s="54">
        <v>0.05</v>
      </c>
      <c r="H3083" s="39" t="s">
        <v>101</v>
      </c>
      <c r="I3083" s="39" t="s">
        <v>102</v>
      </c>
      <c r="J3083" s="41">
        <v>5000</v>
      </c>
      <c r="K3083" s="42">
        <v>94.2</v>
      </c>
      <c r="L3083" s="43"/>
      <c r="M3083" s="43">
        <f>L3083*K3083</f>
        <v>0</v>
      </c>
      <c r="N3083" s="35">
        <v>4690368009416</v>
      </c>
    </row>
    <row r="3084" spans="1:14" ht="36" customHeight="1" outlineLevel="3" x14ac:dyDescent="0.2">
      <c r="A3084" s="45">
        <v>13838</v>
      </c>
      <c r="B3084" s="37" t="str">
        <f>HYPERLINK("http://sedek.ru/upload/iblock/6ab/klyukva_krasavitsa.jpg","фото")</f>
        <v>фото</v>
      </c>
      <c r="C3084" s="38"/>
      <c r="D3084" s="38"/>
      <c r="E3084" s="39"/>
      <c r="F3084" s="39" t="s">
        <v>3759</v>
      </c>
      <c r="G3084" s="54">
        <v>0.05</v>
      </c>
      <c r="H3084" s="39" t="s">
        <v>101</v>
      </c>
      <c r="I3084" s="39" t="s">
        <v>102</v>
      </c>
      <c r="J3084" s="41">
        <v>5000</v>
      </c>
      <c r="K3084" s="42">
        <v>94.2</v>
      </c>
      <c r="L3084" s="43"/>
      <c r="M3084" s="43">
        <f>L3084*K3084</f>
        <v>0</v>
      </c>
      <c r="N3084" s="35">
        <v>4690368022422</v>
      </c>
    </row>
    <row r="3085" spans="1:14" ht="36" customHeight="1" outlineLevel="3" x14ac:dyDescent="0.2">
      <c r="A3085" s="36" t="s">
        <v>3760</v>
      </c>
      <c r="B3085" s="37" t="str">
        <f>HYPERLINK("http://sedek.ru/upload/iblock/d2f/malina_rubin.jpg","фото")</f>
        <v>фото</v>
      </c>
      <c r="C3085" s="38"/>
      <c r="D3085" s="38"/>
      <c r="E3085" s="39"/>
      <c r="F3085" s="39" t="s">
        <v>3761</v>
      </c>
      <c r="G3085" s="54">
        <v>0.05</v>
      </c>
      <c r="H3085" s="39" t="s">
        <v>101</v>
      </c>
      <c r="I3085" s="39" t="s">
        <v>102</v>
      </c>
      <c r="J3085" s="41">
        <v>5000</v>
      </c>
      <c r="K3085" s="42">
        <v>29.6</v>
      </c>
      <c r="L3085" s="43"/>
      <c r="M3085" s="43">
        <f>L3085*K3085</f>
        <v>0</v>
      </c>
      <c r="N3085" s="35">
        <v>4690368026703</v>
      </c>
    </row>
    <row r="3086" spans="1:14" ht="11.25" outlineLevel="3" x14ac:dyDescent="0.2"/>
  </sheetData>
  <autoFilter ref="A55:N3085" xr:uid="{00000000-0001-0000-0000-000000000000}"/>
  <mergeCells count="55">
    <mergeCell ref="A49:N49"/>
    <mergeCell ref="A50:N50"/>
    <mergeCell ref="A51:N51"/>
    <mergeCell ref="A53:N53"/>
    <mergeCell ref="B52:N52"/>
    <mergeCell ref="A44:D44"/>
    <mergeCell ref="F44:N44"/>
    <mergeCell ref="A45:D45"/>
    <mergeCell ref="F45:N45"/>
    <mergeCell ref="A48:N48"/>
    <mergeCell ref="A41:D41"/>
    <mergeCell ref="F41:N41"/>
    <mergeCell ref="A42:D42"/>
    <mergeCell ref="F42:N42"/>
    <mergeCell ref="A43:D43"/>
    <mergeCell ref="F43:N43"/>
    <mergeCell ref="A38:D38"/>
    <mergeCell ref="F38:N38"/>
    <mergeCell ref="A39:D39"/>
    <mergeCell ref="F39:N39"/>
    <mergeCell ref="A40:D40"/>
    <mergeCell ref="F40:N40"/>
    <mergeCell ref="A35:D35"/>
    <mergeCell ref="F35:N35"/>
    <mergeCell ref="A36:D36"/>
    <mergeCell ref="F36:N36"/>
    <mergeCell ref="A37:D37"/>
    <mergeCell ref="F37:N37"/>
    <mergeCell ref="A32:D32"/>
    <mergeCell ref="F32:N32"/>
    <mergeCell ref="A33:D33"/>
    <mergeCell ref="F33:N33"/>
    <mergeCell ref="A34:D34"/>
    <mergeCell ref="F34:N34"/>
    <mergeCell ref="A29:D29"/>
    <mergeCell ref="F29:N29"/>
    <mergeCell ref="A30:D30"/>
    <mergeCell ref="F30:N30"/>
    <mergeCell ref="A31:D31"/>
    <mergeCell ref="F31:N31"/>
    <mergeCell ref="A18:K18"/>
    <mergeCell ref="A20:N20"/>
    <mergeCell ref="A21:N21"/>
    <mergeCell ref="A24:N24"/>
    <mergeCell ref="A28:N28"/>
    <mergeCell ref="A6:N6"/>
    <mergeCell ref="A7:N7"/>
    <mergeCell ref="A11:K11"/>
    <mergeCell ref="A13:N13"/>
    <mergeCell ref="A17:K17"/>
    <mergeCell ref="A1:N1"/>
    <mergeCell ref="A2:N2"/>
    <mergeCell ref="A3:N3"/>
    <mergeCell ref="A4:N4"/>
    <mergeCell ref="A5:N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Оганова Яна Сергеевна</cp:lastModifiedBy>
  <dcterms:modified xsi:type="dcterms:W3CDTF">2025-03-04T12:51:41Z</dcterms:modified>
</cp:coreProperties>
</file>