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tabRatio="0" activeTab="0"/>
  </bookViews>
  <sheets>
    <sheet name="TDSheet" sheetId="1" r:id="rId1"/>
  </sheets>
  <definedNames>
    <definedName name="_xlnm._FilterDatabase" localSheetId="0" hidden="1">'TDSheet'!$A$54:$N$470</definedName>
  </definedNames>
  <calcPr fullCalcOnLoad="1" refMode="R1C1"/>
</workbook>
</file>

<file path=xl/sharedStrings.xml><?xml version="1.0" encoding="utf-8"?>
<sst xmlns="http://schemas.openxmlformats.org/spreadsheetml/2006/main" count="1418" uniqueCount="571">
  <si>
    <t>Компания "СеДеК"</t>
  </si>
  <si>
    <t xml:space="preserve">Крупный опт: 142006, Московская обл., г. Домодедово, мкр-н Востряково, ул. Парковая, 19 (график работы оптового склада: 9:00 – 18:00, будни) </t>
  </si>
  <si>
    <t>Телефоны: Региональные менеджеры: (495) 788-93-90 доб.118, 143,  141, 131;  / Менеджеры по работе с торговыми сетями: (495) 788-93-90 доб. 139, 121, 133 / Коммерческий директор: (495) 788-93-90 доб. 108</t>
  </si>
  <si>
    <t>Мелкий опт: г. Москва, ул. Орджоникидзе, 14 (ст.м.Ленинский проспект). Тел: (495)777-34-93</t>
  </si>
  <si>
    <t>www.SeDeK.ru</t>
  </si>
  <si>
    <t>shop@sedek.ru</t>
  </si>
  <si>
    <t xml:space="preserve">МИНИМАЛЬНАЯ СУММА ЗАКАЗА: </t>
  </si>
  <si>
    <t>20000руб - при отправке заказа в регион транспортной компанией</t>
  </si>
  <si>
    <t>Семена в цветном и белом пакете поставляются упаковками по 10 пакетов</t>
  </si>
  <si>
    <t xml:space="preserve">При оформлении заказа и оплате его по безналичному расчету, просим Вас производить оплату выставленных счетов в течение 5 банковских дней от даты выставления счета на оплату! </t>
  </si>
  <si>
    <t>По истечении указанного срока заказ будет автоматически аннулирован!</t>
  </si>
  <si>
    <t>ПРАВИЛА ОФОРМЛЕНИЯ ЗАКАЗА С ПОМОЩЬЮ ТЕКУЩЕГО ПРАЙС-ЛИСТА</t>
  </si>
  <si>
    <t>В данном прайс-листе представлены товары, которые находятся в наличии на складе компании на дату, указанную в шапке прайс-листа.</t>
  </si>
  <si>
    <t>Просим оформлять заказ по прайс-листу, скаченному с сайта в день оформления заказа (это гарантирует наличие заказанного товара на складе)</t>
  </si>
  <si>
    <t>В столбец ЗАКАЗ внесите необходимое количество пакетов семян по каждой выбранной позиции (Семена поставляются упаковками по 10 пакетов)</t>
  </si>
  <si>
    <t>Просим вносить информацию только в столбец заказ, не изменяя при этом содержание других столбцов (в противном случае срок исполнения вашего заказа увеличивается)</t>
  </si>
  <si>
    <t>Сохраните и отправьте заказ менеджеру, с которым вы работаете. Электронную почту и добавочный телефон менеджера, работающего с вашим регионом, вы можете узнать на нашем сайте.</t>
  </si>
  <si>
    <t>После обработки заказа вам будет выставлен счет</t>
  </si>
  <si>
    <t>ДОСТАВКА ЗАКАЗОВ ТРАНСПОРТНЫМИ КОМПАНИЯМИ</t>
  </si>
  <si>
    <t>Доставка оптовых заказов производится транспортными компаниями за счет покупателя.</t>
  </si>
  <si>
    <t xml:space="preserve">Рекомендуемые транспортные компании: «Желдорэкспедиция», «ПЭК», «Деловые линии», «ЖелдорАльянс», «Автотрейдинг», «Кит», «Аэрокарго». </t>
  </si>
  <si>
    <t xml:space="preserve">Близкое расположение данных компаний к складу  «СеДеК» значительно снижает временные затраты на доставку и предотвращает риск задержки Вашего заказа. </t>
  </si>
  <si>
    <t xml:space="preserve">СИСТЕМА СКИДОК </t>
  </si>
  <si>
    <t>Актуальная система скидок предавлена на сайте компании: http://www.sedek.ru/price/</t>
  </si>
  <si>
    <t>При подтверждении клиентом объема закупок в течение сезона скидка распространяется на следующий год.</t>
  </si>
  <si>
    <t>Скидки являются накопительными и действуют в течение всего сезона.</t>
  </si>
  <si>
    <t>БЛАНК ЗАКАЗА (заполняйте, если делаете заказ впервые)</t>
  </si>
  <si>
    <t>Дата оформления заказа</t>
  </si>
  <si>
    <t xml:space="preserve">Клиент (Юр.лицо, ЧП, ИП, Физ. лицо): </t>
  </si>
  <si>
    <t xml:space="preserve">Банковские реквизиты, ИНН, КПП:   </t>
  </si>
  <si>
    <t xml:space="preserve">Полный адрес:   </t>
  </si>
  <si>
    <t>Телефон:</t>
  </si>
  <si>
    <t>Адрес электронной почты:</t>
  </si>
  <si>
    <t>Контактное лицо:</t>
  </si>
  <si>
    <t>Наименование банка</t>
  </si>
  <si>
    <t>Расчетный счет</t>
  </si>
  <si>
    <t>Корр. счет</t>
  </si>
  <si>
    <t>БИК</t>
  </si>
  <si>
    <t>Карантинный сертификат (да/нет):</t>
  </si>
  <si>
    <t>Фитосанитарный сертификат (да/нет)</t>
  </si>
  <si>
    <t xml:space="preserve">Способ получения товара </t>
  </si>
  <si>
    <t>(самовывоз/транспортная компания)</t>
  </si>
  <si>
    <t>Название транспортной компании:</t>
  </si>
  <si>
    <t>Способ оплаты (наличный / безналичный):</t>
  </si>
  <si>
    <t>ИТОГО (руб)</t>
  </si>
  <si>
    <t>ИТОГО (шт)</t>
  </si>
  <si>
    <t>Прайс-лист от 15.04.24 на пакетированные семена овощных, ягодных, цветочных культур</t>
  </si>
  <si>
    <t xml:space="preserve">® - сорта и гибриды, запатентованные компанией СеДеК; ДУ - серия Даёшь урожай, УГ - серия Урожайная грядка; </t>
  </si>
  <si>
    <t xml:space="preserve">Евро - цветной пакет, МФ - белый пакет; </t>
  </si>
  <si>
    <t xml:space="preserve">ПУ-пленочные укрытия; ОГ-открытый грунт, ЗГ-закрытый грунт, тепл-теплицы; парн-плёночные парники; дет-детерминантный (низкорослый); индет-индетерминантный (высокорослый); ПК-партенокарпический; ПО-пчелоопыляемый          </t>
  </si>
  <si>
    <t>Код</t>
  </si>
  <si>
    <t>Фото</t>
  </si>
  <si>
    <t>Новинка</t>
  </si>
  <si>
    <t>Реклама</t>
  </si>
  <si>
    <t>Фирменная серия</t>
  </si>
  <si>
    <t>Название культуры и сорта/гибрида</t>
  </si>
  <si>
    <t>Вес (г/шт.)</t>
  </si>
  <si>
    <t>Единица фасовки</t>
  </si>
  <si>
    <t>Тип упа- ковки</t>
  </si>
  <si>
    <t>Кол-во пакетов в коробке (шт)</t>
  </si>
  <si>
    <t>Цена (руб)</t>
  </si>
  <si>
    <t>ЗАКАЗ (шт. пакетов)</t>
  </si>
  <si>
    <t>Сумма (руб)</t>
  </si>
  <si>
    <t>Штрихкод</t>
  </si>
  <si>
    <t>ОСНОВНЫЕ</t>
  </si>
  <si>
    <t>ПРОДУКЦИЯ</t>
  </si>
  <si>
    <t>РЕКЛАМНАЯ ПРОДУКЦИЯ</t>
  </si>
  <si>
    <t>СЕРИЯ ДАЁШЬ УРОЖАЙ</t>
  </si>
  <si>
    <t>I0000014895</t>
  </si>
  <si>
    <t>арбуз Шуга Бейби ДУ (ран.спелый, ОГ/ПУ, плод до 3-5 кг., мякоть кр-малиновая,зернистая,оч.сладкая, назн.универс.). Евро, 1</t>
  </si>
  <si>
    <t>г</t>
  </si>
  <si>
    <t>Евро</t>
  </si>
  <si>
    <t>I0000014899</t>
  </si>
  <si>
    <t>горох Александра® ДУ (сахарный, бобы 6-8 см, 7-8 горошин, без пергам. слоя). Евро, 5</t>
  </si>
  <si>
    <t>I0000012716</t>
  </si>
  <si>
    <t>редька Зимняя Круглая Черная ДУ(ср.спел., окр.,черн./бел.,остр., 250-550 г.). Евро, 1</t>
  </si>
  <si>
    <t>I0000013093</t>
  </si>
  <si>
    <t>свёкла Египетская Плоская (столовая) ДУ(ран.спел.,плоскокр., т.-красн./красн.-фиол., 300-500 г.). Евро, 3</t>
  </si>
  <si>
    <t>I0000014970</t>
  </si>
  <si>
    <t>цветок Душистый горошек Виконт (чина душистая, снежно-белый) ДУ. Евро, 0,5</t>
  </si>
  <si>
    <t>I0000014971</t>
  </si>
  <si>
    <t>цветок Душистый горошек Лемингтон (чина душистая, светло-сиреневый) ДУ. Евро, 0,5</t>
  </si>
  <si>
    <t>АРБУЗ</t>
  </si>
  <si>
    <t>I0000013142</t>
  </si>
  <si>
    <t>арбуз Гигант Сахарный (ср.поздний, 5-8 кг, кора плотная,мякоть красная, сочная, зернистая, сладкая, для варенья, засола). Евро, 1</t>
  </si>
  <si>
    <t>арбуз Деликатесный F1® ( ранний, ОГ/ЗГ, плод округл. до 3 кг,кора тонкая, плотная, мякоть кр-малиновая, сахарная). Евро, 1</t>
  </si>
  <si>
    <t>арбуз Иринка F1 ( ран.спелый, плод окр, 3-5 кг, кора плотная, мякоть роз-малин.,зернистая, сочная, сладкая, сахар 12%). Евро, 0,5</t>
  </si>
  <si>
    <t>арбуз Синчевский (ср.спелый, ОГ/ПУ, плод 3-7 кг., кора ср.толщ., мякоть малиновая,зернистая,оч.сладкая, сахар 9-10%,назн.универс.). Евро, 1</t>
  </si>
  <si>
    <t>арбуз Черный Превосходный F1 (ср.спелый, ОГ/ПУ, плод до 10 кг., мякоть кр-малиновая,зернистая,оч.сладкая,сахар 12,5 %, назн.универс.). Евро, 1</t>
  </si>
  <si>
    <t>арбуз Шуга Бейби (ран.спелый, ОГ/ПУ, плод до 3-5 кг., мякоть кр-малиновая,зернистая,оч.сладкая, назн.универс.). Евро, 1</t>
  </si>
  <si>
    <t>БАЗИЛИК</t>
  </si>
  <si>
    <t>базилик Гвоздичный 0,1 г  (однолетн.,ОГ/ЗГ,травянист.раст.зелен.выс.40-50 см.,аромат прян., употр. в св. и суш.виде). Евро, 0,1</t>
  </si>
  <si>
    <t>базилик Дивный денек  (однолетн.,ЗГ/ПУ,травянист.раст.пурп-зелен.,выс.40-50 см.,аромат анисов., употр. в св. и суш.виде). Евро, 0,1</t>
  </si>
  <si>
    <t>базилик Фиолетовый (ср.ранний,ЗГ,листья крупн.,кр-фиолет.,40-50 см., аромат душ.перца, употр. в св.виде). Евро, 0,2</t>
  </si>
  <si>
    <t>БАКЛАЖАН</t>
  </si>
  <si>
    <t>V</t>
  </si>
  <si>
    <t>Баклажан Вкус грибов® (ХИТ! цилиндрич/ слабогрушевид, белый!). Евро, 0,2</t>
  </si>
  <si>
    <t>БОБЫ</t>
  </si>
  <si>
    <t>бобы Белорусские (бобы 8-10 см, зерна св-коричн, 3-4шт). Евро, 10</t>
  </si>
  <si>
    <t>бобы Русские чёрные (бобы 7-8 см, зерна т-фиолет, 3-4шт). Евро, 10</t>
  </si>
  <si>
    <t>бобы Янкель Бялы  (бобы длинные, зерна бежевые). Евро, 10</t>
  </si>
  <si>
    <t>БРЮКВА</t>
  </si>
  <si>
    <t>брюква Красносельская ( ср.ранний, плоск., св.желтый). Евро, 0,5</t>
  </si>
  <si>
    <t>ГОРОХ</t>
  </si>
  <si>
    <t>Горох Атлант (лущильн, бобы 6-7 см, 7-9 горошин, устойчив к засухе). Евро, 5</t>
  </si>
  <si>
    <t>Горох Грёзы (сахарный, бобы 7-8 см, 7-9 горошин, холодост.). Евро, 5</t>
  </si>
  <si>
    <t>Горох Делиза (лущильн, бобы 7-9 см, 6-9 горошин, для консервации, сушки и заморозки). Евро, 8</t>
  </si>
  <si>
    <t>Горох Динга (лущильн, бобы 9-11 см, 9-10 горошин, дружное созревание). Евро, 5</t>
  </si>
  <si>
    <t>Горох Пионер (очень ранний, сахарный, бобы 7-9 см, 6-8 горошин, урожайный). Евро, 8</t>
  </si>
  <si>
    <t>Горох Премиум (лущильн, бобы 8 см, 7-9 крупных горошин). Евро, 8</t>
  </si>
  <si>
    <t>Горох Сахарный стручок (сахарный, бобы прямые). Евро, 5</t>
  </si>
  <si>
    <t>Горох Сенатор (очень ранний, мозговой, бобы длинные, 6-8 горошин). Евро, 5</t>
  </si>
  <si>
    <t>ДАЙКОН</t>
  </si>
  <si>
    <t>Дайкон Клык слона (ср-спел, 300-500 г  холодост.). Евро, 1</t>
  </si>
  <si>
    <t>ДЫНЯ</t>
  </si>
  <si>
    <t>дыня Ананасная(ск.спелый, овал.,зол-оранж., оч.сладкая, 1,8-2 кг.)  . Евро, 0,5</t>
  </si>
  <si>
    <t>дыня Карамельная F1  (ран.спелый, овальн.,т.-зелен, сладкая , 2,5-4 кг.). Евро, 0,5</t>
  </si>
  <si>
    <t>дыня Принцесса Мария F1(ран.-спелый, округл., серо-зелен., сахарн., 1,3-1,5 кг.). Евро, 0,2</t>
  </si>
  <si>
    <t>дыня Принцесса Светлана F1(ран.-спелый, округл., бел.-кремов., умерен.сладк , 1,2-2 кг.). Евро, 0,2</t>
  </si>
  <si>
    <t>КАБАЧОК</t>
  </si>
  <si>
    <t>Кабачок Гольда® F1 (цилиндрич, ярко-золотисто-оранж, обильное плодонош). Евро, 1</t>
  </si>
  <si>
    <t>Кабачок Золотинка (цилиндрич, золотисто-желтый, устойчив к мучнистой росе). Евро, 2</t>
  </si>
  <si>
    <t>Кабачок Спагетти (овально-цилиндрич, светло-кремово-желтый, устойч. к болезням). Евро, 1</t>
  </si>
  <si>
    <t>Кабачок Удача F1 (цилиндрич, серо-зеленый, длительный период плодонош). Евро, 2</t>
  </si>
  <si>
    <t>КАПУСТА</t>
  </si>
  <si>
    <t>I0000000155</t>
  </si>
  <si>
    <t>капуста Сахарный Шар F1 (Б/К) (ран.спел.,окр., 1-1,5 кг). Евро, 0,05</t>
  </si>
  <si>
    <t>КИВАНО</t>
  </si>
  <si>
    <t>I0000014539</t>
  </si>
  <si>
    <t>кивано Дикобраз  (однолетн.растен.,ср.спел.,ЗГ,овал.,150-200гр.). Евро, 3</t>
  </si>
  <si>
    <t>шт</t>
  </si>
  <si>
    <t>КУКУРУЗА</t>
  </si>
  <si>
    <t>кукуруза Симпатия F1 (сахарная) (ран.спел., почат.конич.,15-17 см.,желт.,200-230 г.). Евро, 4</t>
  </si>
  <si>
    <t>кукуруза Утренняя песня F1 (сахарная) (ран.спел., почат.цилиндр.,18-20 см.,оранж.,200-250 г.). Евро, 4</t>
  </si>
  <si>
    <t>кукуруза Фаворит F1 (сахарная) (ср.ран., почат.цилиндр.,18-20 см.,св.желт.,200-250 г.). Евро, 4</t>
  </si>
  <si>
    <t>ЛЕКАРСТВЕННЫЕ КУЛЬТУРЫ</t>
  </si>
  <si>
    <t>пряность Подорожник Походный Доктор ланцетолистный (лек.)(многол.,примен. как кровоост.,бактерицидн.,ранозаживл.,гипотенз.,отх.ср-во). Евро, 0,2</t>
  </si>
  <si>
    <t>МОРКОВЬ</t>
  </si>
  <si>
    <t>морковь Малика (гранул.) (ср.поздн.,цилиндрич.,тупоконечн.,оранж.-красн.18-20 см.,90-180 г.). Евро, 200</t>
  </si>
  <si>
    <t>ОГУРЕЦ</t>
  </si>
  <si>
    <t>Огурец Алексеич F1 (ранний, ПК, ОГ, ПУ, 7-8см, 13-14кг/м², без горечи). Евро, 0,2</t>
  </si>
  <si>
    <t>Огурец Апрельский F1 з/г (скороспел, ПК, 15-20см, 200-300г, для урожая на окне, салатн.). Евро, 0,2</t>
  </si>
  <si>
    <t>I0000002864</t>
  </si>
  <si>
    <t>Огурец Белая гвардия F1 (ХИТ! ПК, тепл, ПУ; плоды белые! 18-22см, 140-170г, 11,0-12,5кг/м², без горечи, холодоуст.). Евро, 0,2</t>
  </si>
  <si>
    <t>Огурцы Родом Из СССР</t>
  </si>
  <si>
    <t>Огурец Герман F1 (ранний, ПК, ОГ, 10-11см, 70-90г, 8,5-9кг/кв.м, без горечи, уст.к переп.темп.). Евро, 0,15</t>
  </si>
  <si>
    <t>Огурец Денёк F1 (ХИТ! ранний, ПО, ОГ, тепл, пучковый! 6-8см, слад, хруст, суперурожайн, засолочн.). Евро, 0,3</t>
  </si>
  <si>
    <t>Огурец Добрый молодец F1 (ранний, ПК, тепл, 120-130г, плод короткий, сочн, консервн, продожит.урож.). Евро, 0,2</t>
  </si>
  <si>
    <t>Огурец Донской Пассаж F1 (ранний, ПК, ОГ, тепл, 10-12см, 110-120г, 12-15кг/кв.м, без горечи, стрессоуст.). Евро, 0,2</t>
  </si>
  <si>
    <t>Огурец Дружок F1 (ранний, ПО, ОГ, ПУ, 8-10см, 13,2кг/кв.м, без горечи, товарн, универсал.). Евро, 0,3</t>
  </si>
  <si>
    <t>Огурец Единство (ПО, ОГ, 10-13см, 60-120г, стаб.урож, неприхотл, засолочн.). Евро, 0,5</t>
  </si>
  <si>
    <t>I0000001124</t>
  </si>
  <si>
    <t>Огурец Забава F1 (ранний, ПО, ОГ, ПУ, тепл, 8-10см, 80-110г, 810-12кг/кв.м, плотн, стрессоуст.). Евро, 0,2</t>
  </si>
  <si>
    <t>Огурец Карлик F1 (ранний, ПК, ОГ, ПУ, 6-8см, 80-90г, 10-12кг/кв.м, стрессоуст, засолоч, конс.). Евро, 0,2</t>
  </si>
  <si>
    <t>Огурец Квартет F1 (ХИТ! скоросп, ПК, ОГ, тепл, пучковый, 9-12см, плотн, хруст, без горечи, урожайн.). Евро, 0,2</t>
  </si>
  <si>
    <t>Огурец Конкурент (скороспел, ПО, ОГ, 9-12см, 70-100г, 3,1-5кг/кв.м, для повтор.посев, засола и консерв.). Евро, 0,5</t>
  </si>
  <si>
    <t>Огурец Королевские пальчики F1 (ПК, тепл, 16-18см, 150-180г, 12,5-14,5кг/кв.м, без горечи, холодоуст). Евро, 0,2</t>
  </si>
  <si>
    <t>Огурец Кристина F1 (ранний, ПК, ОГ, тепл, 10-12см, 75-100г, уст.к переп.темпер, интенс.урож, консервн). Евро, 0,2</t>
  </si>
  <si>
    <t>Огурцы Мини-корнишоны</t>
  </si>
  <si>
    <t>Огурец Крошка сын F1 (ранний, ПК, ОГ, тепл, 70-90г, 10кг/кв.м, сочн, ароматн, высокотовар, для сбора пикулями). Евро, 0,2</t>
  </si>
  <si>
    <t>Огурец Куколка F1 (ХИТ! ранний, ПК, ОГ, ПУ, 9-10см, 10-12кг/кв.м, сладк, хруст, высокотоварн., оч.урожайн). Евро, 0,2</t>
  </si>
  <si>
    <t>Огурец Кухарка F1 (ПО, ОГ, тепл, 8-10см, 90-100г, 8,5-10кг/кв.м, сладк, хруст, товарный). Евро, 0,3</t>
  </si>
  <si>
    <t>Огурец Ла Белла F1 (ПО, ОГ, ПУ, 9-11см, мелкошип, 4,8-6кг/кв.м, плотн, сладк, для консерв. и солений). Евро, 0,3</t>
  </si>
  <si>
    <t>Огурец Лизетта F1 (скоросп, ПК, тепл, ПУ, пучковый, 6-8см, плотн, не перераст, интес.урож, товарн.). Евро, 0,2</t>
  </si>
  <si>
    <t>Огурец Любимчик (ранний, ПО, ОГ, ПУ, пучковый, 9-10,5см, 75-100г, 10,5-14кг/кв.м, плотн, без пустот, стабильн.). Евро, 0,5</t>
  </si>
  <si>
    <t>Огурец Любимый малыш (ПО, ОГ, ПУ, 9-11см, 80-100г, плотн, сладк, высокоурож.). Евро, 0,3</t>
  </si>
  <si>
    <t>Огурец Мадмуазель F1 (ранний, ПО, ОГ, тепл, пучковый, 9-11см, 90г, тонкокож, 15-35плодов.на растен.). Евро, 0,3</t>
  </si>
  <si>
    <t>Огурец Мал-да-удал F1 (ранний, ПК, 8-10см, плотн, хрус, аромат, высокоурож.). Евро, 0,2</t>
  </si>
  <si>
    <t>I0000001044</t>
  </si>
  <si>
    <t>Огурцы Музыкальные</t>
  </si>
  <si>
    <t>Огурец Мендельсон F1 (ХИТ! ранний, ПК, ПУ, тепл, 12-14см, 125-135г, 16 кг/кв.м, плотн, теневын, универс.). Евро, 5</t>
  </si>
  <si>
    <t>У0000031293</t>
  </si>
  <si>
    <t>Огурец Мой генерал F1 (ранний, ПК, ОГ, ПУ, 16-18см, 12,5-15кг/кв.м, без горечи, теневын). Евро, 0,2</t>
  </si>
  <si>
    <t>I0000001125</t>
  </si>
  <si>
    <t>Огурец Моринга F1 (ранний, ПО, ОГ, ПУ, пучковый, 10-12см, 80-110г, без горечи, стаб.урож, высокотов.). Евро, 0,2</t>
  </si>
  <si>
    <t>Огурец Мотылёк F1 (ХИТ! ОГ, ПУ, пучковый, 6-8см, 10кг/кв.м, плотн, без гореч и пуст, для сбора пикулями, до 100пл. за сбор!). Евро, 0,3</t>
  </si>
  <si>
    <t>Огурец Натали F1 (скороспел, ПО, ЗГ, 11-13см, 90-120г, 10,5кг/кв.м, без горечи, уст. к непогоде). Евро, 0,3</t>
  </si>
  <si>
    <t>Огурец Наша Даша F1 (ПК, ЗГ, 11-13см, 100-120г, 10,5-11,3кг/кв.м, без горечи, уст. к низк.освещению). Евро, 0,2</t>
  </si>
  <si>
    <t>Огурец Обильный (ранний, ОГ, ПУ, 8,5-9,5см, 70-100г, 11-12,5кг/кв.м, вкусн, неприхотлив, товарн.). Евро, 0,5</t>
  </si>
  <si>
    <t>Огурец Пальцы Паганини F1 (ХИТ! ранний, ПК, ОГ, ПУ, 12-14см, 10-12кг/кв.м, плотн, сочный, теневыносл.). Евро, 0,2</t>
  </si>
  <si>
    <t>Огурец Парад (ранний, ПО, ОГ, 10-11см, 90-105г, вкусн, друж.плодонош, консервн). Евро, 0,5</t>
  </si>
  <si>
    <t>Огурец Парижский корнишон (ранний, ПО, ОГ, 8-10см, 55-80г, стаб.урож, для засола и консервир.). Евро, 0,5</t>
  </si>
  <si>
    <t>Огурец Патриарх F1 (ПО, ОГ: 4,6кг/кв.м, тепл: 10,4кг/кв.м, пучковый, 8-10см, без горечи, интенс.плодонош, консервн). Евро, 0,3</t>
  </si>
  <si>
    <t>Огурец Подарок Востока F1 (ХИТ! ПК, тепл, пучковый, 8-10см, 85г, гладкий, 8-9кг/кв.м, сладк, хрустящ, продолж.плодон.). Евро, 0,2</t>
  </si>
  <si>
    <t>Огурец Подмосковные вечера СеДеК F1 (ранний, ПК, ПУ, 12-14см, 80-110г, теневын, обил.и продолжит.плодонош). Евро, 0,2</t>
  </si>
  <si>
    <t>Огурец Полина F1 (ПО, пучковый, 8-10см, 9,3кг/кв.м, плотн, не перераст, универс.). Евро, 0,3</t>
  </si>
  <si>
    <t>Огурец Праздник поля F1 (ПО, ОГ, ПУ, 10-12см, 110-120г, сочный, продолж.плодон.). Евро, 0,3</t>
  </si>
  <si>
    <t>Огурец Престол F1 (ПО, ОГ, 10-12см, 80-100г, крепкий, хрустящ, плодон.до холодов). Евро, 0,3</t>
  </si>
  <si>
    <t>I0000002520</t>
  </si>
  <si>
    <t>Огурец Прокофьев F1 (ХИТ! ранний, ПК, ПУ, тепл, 10-13см, 90-110г, 18кг/кв.м, плотн, теневыносл.). Евро, 8</t>
  </si>
  <si>
    <t>Огурец Разносол F1 (ПО, ОГ, 10-12см, не перераст, плодон.до осени, для засола и консерв.). Евро, 0,3</t>
  </si>
  <si>
    <t>Огурец Рита F1 (ранний, ПО, ОГ, тепл, 60-90г, 12,6-13кг/кв.м, без горечи, товарн, универс.). Евро, 0,2</t>
  </si>
  <si>
    <t>I0000001042</t>
  </si>
  <si>
    <t>Огурец Рихтер F1 (ХИТ! ранний, ПК, ПУ, тепл, 10-12см, 80-120г, 17кг/кв.м, без горечи, стрессоуст.). Евро, 8</t>
  </si>
  <si>
    <t>Огурец Русский стиль F1 (ХИТ! скоросп, ПК, ОГ, пучковый, 10-12см, без горечи, из золотой коллекции селикцион.достижений!). Евро, 0,2</t>
  </si>
  <si>
    <t>Огурец Сахарный малыш F1 (ХИТ! ранний, ПК, ПУ: 10,5-12,5 кг/кв.м, тепл: 18-22 кг/м2, пучковый, 7-8см, плотн, сладк, д/засола и конс.). Евро, 0,2</t>
  </si>
  <si>
    <t>Огурец Сладкая женщина F1 (ПО, ОГ, 20-22см, 160-200г, гладкий, 12,5кг/м², оч.слад, товарн, салат.). Евро, 0,3</t>
  </si>
  <si>
    <t>Огурец Сладкий король F1 (ранний, ПО, ОГ, тепл, 6-8см, 85-95г, 8,2кг/кв.м, крепк, сладк, дружн.урож.). Евро, 0,5</t>
  </si>
  <si>
    <t>Огурец Сударыня F1 (ранний, ПО, ОГ, ПУ, 8-10см, 95-105г, не желтеет, плотн, консервн.). Евро, 0,3</t>
  </si>
  <si>
    <t>Огурец Хозяюшка F1 (ХИТ! ранний, ПК, ОГ, ПУ, 10-12см, 10,5-13кг/кв.м, плотн, без горечи, для салатов и заготовок). Евро, 0,2</t>
  </si>
  <si>
    <t>Огурец Элиза F1 (ПК, ПУ, 8-10см, 60-62г, 5,4кг/кв.м, плотн, вкусн, уст. к перепадам темп.). Евро, 0,2</t>
  </si>
  <si>
    <t>Огурец Ямал F1 (ранний, ПК, ОГ, ПУ, 8-10см, 10-12кг/кв.м, плотн, сочн, холодо/стрессоуст, для засола и конс.). Евро, 0,2</t>
  </si>
  <si>
    <t>ПАТИССОН</t>
  </si>
  <si>
    <t>патиссон Зонтик(ран.спел.,чашевидн.,колокольчат.,св.зелен.,бел./бел., 800-1100 г.). Евро, 1</t>
  </si>
  <si>
    <t>ПЕРЕЦ</t>
  </si>
  <si>
    <t>I0000001445</t>
  </si>
  <si>
    <t>Серия Полководцы</t>
  </si>
  <si>
    <t>перец Адмирал Ушаков F1 (ХИТ! сладк; тепл,70-80 см,кубовид,крас,250-350г,толстостенные,ур-ть 7,5-8кг/кв.м). Евро, 0,1</t>
  </si>
  <si>
    <t>Перцы острые</t>
  </si>
  <si>
    <t>перец Венгерский желтый (остр; ранний,ОГ,ПУ,40-45см,узкоконусовид,крас,35-40г,тонкостен,ур.6-6,4кг/кв.м). Евро, 0,1</t>
  </si>
  <si>
    <t>перец Виолетта (сладк; ср-ранн, ОГ, ПУ, 55-60 см, призмовидные, темно-красные, 100-120 г, толстостенные, ур. 7-8 кг/кв.м). Евро, 0,2</t>
  </si>
  <si>
    <t>Серия Болгарские</t>
  </si>
  <si>
    <t>перец Галатея (кустарн; ср-ранн, ОГ,ПУ, 75-80 см, призмовид, желто-оранж, 110-120 г, толстостен, ур. 6,5-7 кг/кв.м). Евро, 0,2</t>
  </si>
  <si>
    <t>перец Игрок® (ХИТ! сладк; ранний, ОГ, тепл, 45-50 см, кубовид, насыщ-крас, 130-150 г, толстостен, ур. 5-6 кг/кв.м). Евро, 0,2</t>
  </si>
  <si>
    <t>перец Клюв сокола (ХИТ! кустарн; ОГ,ПУ, комн.усл., 50 см, узкоконусовид, ярко-крас, очень острый, 5-10 г, ур. 4,5-5 кг/кв.м). Евро, 0,2</t>
  </si>
  <si>
    <t>перец Корвет (сладк; ранний, о/г-пл. укр, 50-60 см, конич, ярко-красн, 60-80 г, толстостен, ур. 6-7 кг/кв.м). Евро, 0,2</t>
  </si>
  <si>
    <t>перец Купчишка F1 (сладк; ОГ,ПУ, 60-70 см, широкопризмовид, красн, 150-180 г, толстостен, ур 6-6,5 кг/кв.м). Евро, 0,1</t>
  </si>
  <si>
    <t>Перцы острые декор.</t>
  </si>
  <si>
    <t>перец Оранжевое чудо F1 (кустарн; ранний, ОГ,ПУ, комн.усл, 30-35 см, конусовид, ярко-оранж, 4,5-5 г, острого вкуса, обильное плодонош.). Евро, 0,1</t>
  </si>
  <si>
    <t>перец Рябинка (кустарн; ОГ,ПУ,комн.усл, 40-60 см, округ, красные, 2-3 г, продолжит. период плодонош.). Евро, 0,05</t>
  </si>
  <si>
    <t>перец Самородок F1 (ХИТ! сладк; ОГ,ПУ, до 60 см, кубовид, темно-красн, 200-450 г, толстостен, до 10-15 крупных плодов на кусте). Евро, 0,2</t>
  </si>
  <si>
    <t>ПЕТРУШКА</t>
  </si>
  <si>
    <t>петрушка Лекарь ( корневая)(ср.спел.,конич.,бел./бел., 60-90 г.). Евро, 2</t>
  </si>
  <si>
    <t>ПРЯНОСТИ</t>
  </si>
  <si>
    <t>пряность Бораго Утро (огуречная трава, сиреневый). Евро, 0,5</t>
  </si>
  <si>
    <t>пряность Горчица Закусочная (лист)(скоросп.,однолетн., овал.,зелен.,употр.в св.виде). Евро, 1</t>
  </si>
  <si>
    <t>пряность Змееголовник лимонный Молдавский(однолетн.,лекарств. и декорат.,зелен.,мятн.-лимон.аромат/прян.вкус употр.в св и суш..виде). Евро, 0,5</t>
  </si>
  <si>
    <t>пряность Иссоп Лекарь(многолетн.,прян.,медоносн., т.зелен./сине-фиолет.,целебн.св-ва,употр.в св.и суш.виде). Евро, 0,2</t>
  </si>
  <si>
    <t>пряность Катран степной Аккорд(ср.спел.,многолет.,корнепл.цилиндр.,бел.,остр.60-120 см.,300-500 г.). Евро, 0,3</t>
  </si>
  <si>
    <t>пряность Клевер Кружево (многолетн.,трав.раст.,зелен./цв.роз.-красн.,лекарств.св-ва, 20-50 см). Евро, 1</t>
  </si>
  <si>
    <t>пряность Мелисса Цитронелла 0,05 г(многолетн.,зелен./бел.-гол.,лимон.аромат.,лекарств., до 100 см.). Евро, 0,05</t>
  </si>
  <si>
    <t>пряность Пастернак Студент( ср.ран., бел.,конич.с остр.конч., 15-20 см.,100-130 г.). Евро, 1</t>
  </si>
  <si>
    <t>пряность Портулак огородный Светлячок(однолетн.,лист.мясист./цв.желт.,целебн. до 50см.). Евро, 0,1</t>
  </si>
  <si>
    <t>пряность Скорцонера Лечебный(ср.спел.,двулетн.,черн.корнеплод.,мяк.бел., сладк.вяжущ.вкус,30-35 см). Евро, 0,5</t>
  </si>
  <si>
    <t>пряность Скорцонера Цыган(ср.спел.,двулетн.,цилиндр.,черн.корнеплод.,мяк.бел., сладк.вяжущ.вкус, до 30 см). Евро, 0,5</t>
  </si>
  <si>
    <t>пряность Чабер Перечный аромат(ср.спел.,шаровидн.,лист т-зелен.,цв.сирен.,перечн.запах,вкус жгуч.перца, 30-40 см). Евро, 0,1</t>
  </si>
  <si>
    <t>РЕДИС</t>
  </si>
  <si>
    <t>Серия Ажур</t>
  </si>
  <si>
    <t>редис Ажур (ран.спел., ОГ,укор.-цилиндр.,роз.-красн.с бел.конч./бел.,сл.остр., 25-30 г.). Евро, 2</t>
  </si>
  <si>
    <t>редис Анжелика (ран.спел., ОГ/ЗГ,удл.-цилиндр.,ярк.-красн.с бел.конч./бел.,сл.остр., 18-21 г.). Евро, 2</t>
  </si>
  <si>
    <t>редис Барон (ран.спел., ОГ/ЗГ,окр., бел./бел.,сл.остр., 30-40 г.). Евро, 2</t>
  </si>
  <si>
    <t>Редис Кармен   ® (ран.спел., ОГ,окр.,красн./бел.,сл.остр., от 10-15 до 40-60 г.). Евро, 3</t>
  </si>
  <si>
    <t>редис Мулатка(ср.спел., ОГ,окр.,фиол./бел.,сл.остр., 20-25 г.). Евро, 2</t>
  </si>
  <si>
    <t>редис Нота(ран.спел., ОГ/ЗГ,окр.,нас.-красн./бел.,сл.остр., 20-25 г.). Евро, 3</t>
  </si>
  <si>
    <t>I0000002352</t>
  </si>
  <si>
    <t>редис Политез(ран.спел., ОГ/ПУ/теплицы,окр.,красн.с бел.конч./бел.-роз.,сл.остр., 25-29 г.). Евро, 2</t>
  </si>
  <si>
    <t>редис Премьер®(ран.спел., ОГ,окр.,роз.с бел.конч./бел.-роз.,сл.остр., 18-22 г.). Евро, 2</t>
  </si>
  <si>
    <t>редис Принц Датский(ср.ран., ОГ,удл.-цилиндр.,нас.-красн./бел.,сл.остр., 20-25 г.). Евро, 2</t>
  </si>
  <si>
    <t>редис Розовый с б/к(ср.ран., ОГ,окр.,роз.с бел.конч./бел.,сл.остр., 14-28 г.). Евро, 3</t>
  </si>
  <si>
    <t>редис Рубин(ран.спел., ОГ/ЗГ,окр.,красн./бел.-роз.,сл.остр., 15-30 г.). Евро, 3</t>
  </si>
  <si>
    <t>редис Сакса РС(ран.спел., ОГ/ЗГ,окр.,ярк.-красн./бел.,сл.остр., 20-25 г.). Евро, 3</t>
  </si>
  <si>
    <t>редис Селянка(ср.ран., ОГ,цилиндр., красн.с бел.конч./бел.,сл.остр., 25-30 г.). Евро, 3</t>
  </si>
  <si>
    <t>редис Снежная Королева(ср.спел., ОГ/ЗГ,удл.-цилиндр.,бел./белоснежн.,сл.остр., 30-35 г.). Евро, 3</t>
  </si>
  <si>
    <t>редис Сосулька(поздн.спел., ОГ/ПУ,удл.-цилиндр.,бел./бел.,остр., 30-50 г.). Евро, 3</t>
  </si>
  <si>
    <t>I0000001128</t>
  </si>
  <si>
    <t>редис Суперстар(скороспел., ОГ/ЗГ,окр.,ярк.-красн./бел.,полуостр., 20-23 г.). Евро, 1</t>
  </si>
  <si>
    <t>редис Сюрприз Тещи(поздн.спел., ОГ,удл.-цилиндр.,бел./бел.,сл.остр., 30-50 г.). Евро, 3</t>
  </si>
  <si>
    <t>редис Три Недельки(ран.спел., ОГ, окр.,нас.-красн./бел.,полуостр., 10-15 г.). Евро, 2</t>
  </si>
  <si>
    <t>редис Хруст®(ран.спел., ОГ/ЗГ,окр.,красн. с бел.конч./бел.,полуостр., 30-40 г.). Евро, 2</t>
  </si>
  <si>
    <t>редис Чемпион(ран.спел., ОГ/ЗГ,удл.-овал.,ярк.-красн./бел.,сл.остр., 18-20 г.). Евро, 3</t>
  </si>
  <si>
    <t>РЕДЬКА</t>
  </si>
  <si>
    <t>редька Агата(ран.спел., конич.,бел./бел.,сл.остр., 300-400 г.). Евро, 1</t>
  </si>
  <si>
    <t>редька Зимняя Круглая Черная(ср.спел., окр.,черн./бел.,остр., 250-550 г.). Евро, 1</t>
  </si>
  <si>
    <t>редька Майская (ран.спел., окр.,бел./бел.,сл.остр., 80-100 г.). Евро, 1</t>
  </si>
  <si>
    <t>редька Мюнхен Бир(ран.спел., удл.-овал.,бел./бел.,сл.остр., 350-480 г.). Евро, 2</t>
  </si>
  <si>
    <t>редька Негритянка(поздн.спел., окр.-овал.,черн./бел.,сл.остр., 250-300 г.). Евро, 1</t>
  </si>
  <si>
    <t>редька Старт F1 (лобо)(ран.спел., окр.,св.-зелен./роз.-красн.,сл.остр./сладк., 120-180 г.). Евро, 1</t>
  </si>
  <si>
    <t>редька Удача (лобо) (ран.спел., цилиндр.,зелен.с бел.конч./св.зелен.,без горечи, 800-1400 г.). Евро, 1</t>
  </si>
  <si>
    <t>I0000002361</t>
  </si>
  <si>
    <t>редька Чернавка(поздн.спел., окр.-плоск.,черн./бел.,сл.остр., 250-300 г.). Евро, 1</t>
  </si>
  <si>
    <t>редька Эсмеральда(ср.спел., цилиндр.,бел./бел.,без остр., 300-400 г.). Евро, 1</t>
  </si>
  <si>
    <t>РЕПА</t>
  </si>
  <si>
    <t>I0000013236</t>
  </si>
  <si>
    <t>репа Ажур(ср.ран.,ОГ/ПУ, грушевидн.,бел./бел,сладк., 8х15 см.). Евро, 1</t>
  </si>
  <si>
    <t>репа Золотой шар(ср.ран., окр.,желт./желт.,60-150 г.). Евро, 1</t>
  </si>
  <si>
    <t>СВЁКЛА</t>
  </si>
  <si>
    <t>свёкла Донна (столовая)(ср.поздн.,цилиндр., т.-красн./инт.-красн.,сладк., 140-300 г.). Евро, 3</t>
  </si>
  <si>
    <t>свёкла Египетская Плоская (столовая)(ран.спел.,плоскокр., т.-красн./красн.-фиол., 300-500 г.). Евро, 3</t>
  </si>
  <si>
    <t>свёкла Кросби (столовая)(ср.спел.,плоск,-окр.,т.-красн./т.-борд.с фиол.от., 120-130 г.). Евро, 3</t>
  </si>
  <si>
    <t>свёкла Матрона СеДеК (столовая)(поздн.-спел.,окр., т.-красн./инт.-красн.,сладк., 250-500 г.). Евро, 3</t>
  </si>
  <si>
    <t>I0000001131</t>
  </si>
  <si>
    <t>свёкла Милана F1 (полусладкая,одноростк)( кормовая)(ср.поздн.,овал., бел.-зелен./бел, до 3000 г.). Евро, 1</t>
  </si>
  <si>
    <t>свёкла Одноростковая (столовая)(ср.спел.,окр., т.-вишн./т.борд.,сочн., 280-350 г.). Евро, 3</t>
  </si>
  <si>
    <t>свёкла Первый Урожай (столовая)®(ран.спел.,окр., т.-борд./т.-красн., 180-200 г.). Евро, 3</t>
  </si>
  <si>
    <t>свёкла Салатная (столовая)(поздн.спел.,окр.,т.-борд./т.-красн.,сочн.,сладк., 250-300 г.). Евро, 3</t>
  </si>
  <si>
    <t>свёкла Хавская (столовая)(ср.поздн.,окр.,т.-красн./красн.с борд.от.,сочн.,нежн., 300-500 г.). Евро, 3</t>
  </si>
  <si>
    <t>ТОМАТ</t>
  </si>
  <si>
    <t>Томат Алексеевна (ранний, ОГ, ПУ, дет, округ, красн, 150-200г, салатный). Евро, 0,05</t>
  </si>
  <si>
    <t>Томат Андромеда F1 (ранний, ОГ, ПУ, дет, пл/округ, красн, 70-120г, высокоурож.). Евро, 0,05</t>
  </si>
  <si>
    <t>Томат Артист F1 (ЗГ, индет, округ, светл-красн, 150-200г, высокоурож.). Евро, 0,05</t>
  </si>
  <si>
    <t>I0000002006</t>
  </si>
  <si>
    <t>Томат Благородный принц (тепл, дет, сливовид, ярко-красн, до 30г, для сушки.). Евро, 0,1</t>
  </si>
  <si>
    <t>I0000002007</t>
  </si>
  <si>
    <t>Томат Боярыня F1 (тепл, индет, округ, розов, 200-250г, для соков). Евро, 0,05</t>
  </si>
  <si>
    <t>I0000002008</t>
  </si>
  <si>
    <t>Томат Бумбараш F1 (парн, тепл, индет, округ, ярко-красно-роз, 100-150г, урожайн.). Евро, 0,05</t>
  </si>
  <si>
    <t>I0000000433</t>
  </si>
  <si>
    <t>Томат Буржуин F1 (ОГ, ПУ, дет, округ, красн, 150-180г, плод плотн.). Евро, 0,05</t>
  </si>
  <si>
    <t>I0000002009</t>
  </si>
  <si>
    <t>Томат Бутуз (ОГ, ПУ, дет, пл/округ, ало-красн, 200-300г, мясист, для соков). Евро, 0,1</t>
  </si>
  <si>
    <t>Томаты без рассады</t>
  </si>
  <si>
    <t>Томат Весна севера F1 (ранний, ОГ, ПУ, дет, пл/округ, розов, 210-350г, высокоурож.). Евро, 0,05</t>
  </si>
  <si>
    <t>I0000001548</t>
  </si>
  <si>
    <t>Томат Владимир Великий F1 (ХИТ! тепл, ПУ, индет, пл/окр, насыщ-темн-крас, малин.мяк, 250-350г, сладкий). Евро, 0,03</t>
  </si>
  <si>
    <t>Томат Волгоградский 5/95 (ОГ, дет, шт, пл/окр сл/реб, яркр-красн, 90-150г, выс.сод. сахар.). Евро, 0,1</t>
  </si>
  <si>
    <t>Томат Гея (ранний, ОГ, ПУ, дет, пл/округ, красн, 130-150г, уст. к перепад. температ.). Евро, 0,2</t>
  </si>
  <si>
    <t>I0000002011</t>
  </si>
  <si>
    <t>Томат Грот (ранний, ОГ, ПУ, дет, округ, красн, 60-80г, холодостойк.). Евро, 0,1</t>
  </si>
  <si>
    <t>I0000001460</t>
  </si>
  <si>
    <t>Томат Груша красная (тепл, ПУ, индет, грушевид, красн, 50-80г, цельнопл. консерв.). Евро, 0,1</t>
  </si>
  <si>
    <t>I0000012784</t>
  </si>
  <si>
    <t>томат Грушка консервная розовая з/г (ран.спел.,ЗГ/ПУ.,грушевидн.,50 г.,сладк.,розов.,для салат.,консервир.). Евро, 0,1</t>
  </si>
  <si>
    <t>Томат Дарья F1 (ранний, ОГ, ПУ, дет, округ, ярко-красн, 70-120г, высок. содерж. сахар.). Евро, 0,1</t>
  </si>
  <si>
    <t>Томат Дачный любимец (ранний, ОГ, ПУ, дет, пл/округ сл/реб, красн, 200-300г, высококачеств.). Евро, 0,1</t>
  </si>
  <si>
    <t>Томат Де Барао розовый (ХИТ! ОГ, тепл, индет, овальн, насыщ-роз, 60-90г, холодост.). Евро, 0,1</t>
  </si>
  <si>
    <t>Томат Детские пальчики F1 (тепл, ПУ, индет, удл-цил с нос, ярк-крас, 80-100г, конс. в соб. соку.). Евро, 0,1</t>
  </si>
  <si>
    <t>Томат Дон Жуан (ХИТ! ранний, ОГ, ПУ, дет, удл. с нос, ярк-малин. с жёлт. полос, 70-80г, цельнопл. конс). Евро, 0,1</t>
  </si>
  <si>
    <t>Томат Дон Кихот F1 (парн, тепл, индет, куб-перцевид, насыщ-жёлт, 80-120г, для фарширов.). Евро, 0,05</t>
  </si>
  <si>
    <t>Томат Дочка F1 (ОГ, ПУ, индет, округ, ярко-роз, до 450г, для высокоурож.). Евро, 0,1</t>
  </si>
  <si>
    <t>Томат Душечка F1 (ОГ, ПУ, дет, округ. сл/реб, инт-красн, 200-250г, универсальн.). Евро, 0,05</t>
  </si>
  <si>
    <t>I0000002013</t>
  </si>
  <si>
    <t>Томат Екатерина F1 (ЗГ, индет, округ, красн, 110-140г, плотн, толстостен.). Евро, 0,03</t>
  </si>
  <si>
    <t>томат Елизавета F1®   ( ОГ.ПУ, дет, пл/округ, ярко-красн, 150-250г. плотн. толстокож.). Евро, 0,05</t>
  </si>
  <si>
    <t>I0000002229</t>
  </si>
  <si>
    <t>Томат Жадина F1 (ОГ, ПУ, дет, округ, розов, 180-250г, для соков). Евро, 0,05</t>
  </si>
  <si>
    <t>Томат Жар-птица F1 (ранний, ОГ, тепл, дет, пл/округ, оранж, до 250г, салат, холодост.). Евро, 0,05</t>
  </si>
  <si>
    <t>Томат Жёлтый гигант (ХИТ! тепл, ПУ, индет, окр, пл/окр, ярко-желт, до 350г, салатн.). Евро, 0,1</t>
  </si>
  <si>
    <t>I0000002230</t>
  </si>
  <si>
    <t>Томат Жиртрест F1 (теп, ПУ, индет, пл/округ сил/ребр, красн, 180-250г, урож, неприхот.). Евро, 0,1</t>
  </si>
  <si>
    <t>Томат Зарево F1 (ранний, ОГ, ПУ, дет, округ, розов, 150-170г, урожайн.). Евро, 0,05</t>
  </si>
  <si>
    <t>Томат Засолочный грунтовый (ОГ, ПУ, дет, овал, ярко-красн, 80-100г, плотн.). Евро, 0,1</t>
  </si>
  <si>
    <t>Томат Золотые колокола F1 (пар, теп, индет, кубовид-перцевид. сил/реб, ярко-желт, 80-110г, для фарш-ки.). Евро, 0,05</t>
  </si>
  <si>
    <t>I0000001473</t>
  </si>
  <si>
    <t>Томат Иван Царевич F1 (теп, пар, ПУ, индет, пл/окр сл/реб, крас, 150-200г, высокотов.). Евро, 0,1</t>
  </si>
  <si>
    <t>Томат Иваныч F1 (ранний, ОГ, тепл, дет, пл/окр сл/реб, малин, 150-200г, плотн, мясистый). Евро, 0,1</t>
  </si>
  <si>
    <t>I0000001724</t>
  </si>
  <si>
    <t>Томат Идальго сахарный F1 (ОГ, ПУ, дет, цилинд с нос, желт, 70-90г, Куст с плод - шедевр). Евро, 0,05</t>
  </si>
  <si>
    <t>I0000001476</t>
  </si>
  <si>
    <t>Томат Изумрудное яблоко (ОГ, тепл индет, пл/окр, изумруд-зелен с желт оттен, 250-300г, вкусн.). Евро, 0,1</t>
  </si>
  <si>
    <t>I0000001482</t>
  </si>
  <si>
    <t>Томат Каспар 2 «Король консервации» F1 (ХИТ! ОГ, ПУ, дет, удл-цилин, красн, 120-130г, консерн.). Евро, 0,05</t>
  </si>
  <si>
    <t>I0000001558</t>
  </si>
  <si>
    <t>Томат Князь F1 (тепл, ПУ, индет, округ, красн, 150-190г, жаро-засухоуст.). Евро, 0,03</t>
  </si>
  <si>
    <t>Томат Красно солнышко F1 (ранний, ОГ, ПУ, дет, округ, красн, 130-150г, высокопродуктивн.). Евро, 0,05</t>
  </si>
  <si>
    <t>Томат Красный мясистый (ЗГ, ПУ, полудет, пл/окр, насыщ-крас, до 300г, лучш.для овощ.диет). Евро, 0,1</t>
  </si>
  <si>
    <t>I0000012738</t>
  </si>
  <si>
    <t>Томат Красный чемпион F1 (ран/сп, теп, ПУ, индет, окр-сердцев с нос, красн, 170-250г, част.распол.кистей). Евро, 0,03</t>
  </si>
  <si>
    <t>Томат Красотка F1 (ранний, ОГ, ПУ, дет, пл/округ, розов-малин, до 200г, универсал.). Евро, 0,05</t>
  </si>
  <si>
    <t>Томат Крупный красный (ПУ, индет, пл/окр, сл/реб, красн, до 300г, мякоть сочн. арбузн.). Евро, 0,1</t>
  </si>
  <si>
    <t>Томат Крупный розовый (теп, ПУ, индет, пл/окр, розов, 200-300г, многокамерн.). Евро, 0,1</t>
  </si>
  <si>
    <t>Томат Ксюша F1 (ранний, ОГ, ПУ, дет, округ, насыщ-красн, 120-150г, неприхотл.). Евро, 0,05</t>
  </si>
  <si>
    <t>Томат Ласка F1 (ранний, ОГ, ПУ, дет, сливовид, ярко-красн, 60-70г, для засола и консерв.). Евро, 0,05</t>
  </si>
  <si>
    <t>Томат Лидер (ранний, ОГ, ПУ, дет, пл/округ, красн, до 100г, завяз. плод при понижен. температ.). Евро, 0,2</t>
  </si>
  <si>
    <t>Томат Лиза (ранний, ОГ. ПУ, дет, кубовид, оранж-красн, неприхотлив, идеален для консервир.). Евро, 0,2</t>
  </si>
  <si>
    <t>Томат Любительский розовый (ранний, ОГ, тепл, индет, пл/округ, роз-малин, 500-700г, салатн.). Евро, 0,1</t>
  </si>
  <si>
    <t>I0000002203</t>
  </si>
  <si>
    <t>Томат Любовь Токио F1 (теп, ПУ, индет, сливовид, оранж, 30-40 г, выс.сод. сахар.). Евро, 0,03</t>
  </si>
  <si>
    <t>Томат Мажор F1 (ХИТ! ОГ, ПУ, индет, округ, малин, до 300г, лучший по вкусу). Евро, 0,05</t>
  </si>
  <si>
    <t>Томат Малиновый деликатес F1 (теп, ПУ, индет, округ, ярк-розов, до 300г, отличн. вкус). Евро, 0,1</t>
  </si>
  <si>
    <t>Томат Малиновый цвет (ранний, ОГ, ПУ, дет, штамб, пл/округ, малин, 100-120г, сахарн, салатн.). Евро, 0,1</t>
  </si>
  <si>
    <t>I0000002019</t>
  </si>
  <si>
    <t>Томат Мальчик-с-пальчик (ультраск/сп, ОГ, ПУ, дет, шт, округ, красн, до 60г, повыш.сод. ликопина). Евро, 0,1</t>
  </si>
  <si>
    <t>Томат Марс улучшенный F1 (ранний, ОГ, дет, пл/округ, красн, 60-80г, урожайн, консервн.). Евро, 0,05</t>
  </si>
  <si>
    <t>Томат Медовая гроздь (ХИТ! ран, ОГ, ПУ, дет, штамб, округ, желт, 30-50г, холодост, консервн.). Евро, 0,1</t>
  </si>
  <si>
    <t>Томат Микадо розовый (ранний, теп, ПУ, индет, пл/округ, розов, 200-300г, рекорд. плод 940г). Евро, 0,1</t>
  </si>
  <si>
    <t>Томат Милашка (ультраск/спел, ОГ, ПУ, дет, округ, ярко-красн, 40-50г, холодост, неприхотл.). Евро, 0,2</t>
  </si>
  <si>
    <t>Томат Минибел (ХИТ! скороспел, ОГ, ПУ, дет, округ, красн, 65-85г, куст усыпан плодами). Евро, 0,1</t>
  </si>
  <si>
    <t>Томат Михей F1 (ранний, ОГ, ПУ, супердет, округ сл/реб, интенс-крас, до 180г). Евро, 0,05</t>
  </si>
  <si>
    <t>I0000001500</t>
  </si>
  <si>
    <t>Томат Морковный (ран/сп, ОГ, ПУ, дет, пл/окр сл/реб, оранж-крас, 100-150г, соч. плод, красив.лист). Евро, 0,1</t>
  </si>
  <si>
    <t>томат Московский Скороспелый   о/г(ран.спел.,ОГ/ПУ.,плоскоокр., до 250 г.,красн.,для салат.,консерв.). Евро, 0,1</t>
  </si>
  <si>
    <t>Томат Моя радость F1 (скороспел, ОГ, тепл, дет, округ, интенс-красн, до 270г, урож, универсал.). Евро, 0,05</t>
  </si>
  <si>
    <t>Томат Надежда F1 (ранний, ОГ, ПУ, дет, пл/округ, красн, 70-100г, плотный, сладкий). Евро, 0,05</t>
  </si>
  <si>
    <t>Томат Невестушка F1 (ранний, ОГ, ПУ, дет, пл/окр сл/реб, красн, 150-200г, отличн. вкус, холодост.). Евро, 0,05</t>
  </si>
  <si>
    <t>I0000002626</t>
  </si>
  <si>
    <t>Томаты Непас</t>
  </si>
  <si>
    <t>Томат Непас (Непасынкующийся) (ХИТ! скороспел, ОГ, ПУ, дет, пл/округ, красн, 50-80г, неприхотлив.). Евро, 0,1</t>
  </si>
  <si>
    <t>Томат Непасынкующийся (ХИТ! скороспел, ОГ, ПУ, дет, пл/округ, красн, 50-80г, неприхотлив.). Евро, 0,1</t>
  </si>
  <si>
    <t>I0000002108</t>
  </si>
  <si>
    <t>Томат Непасынкующийся полосатый (ран/сп, ОГ, ПУ, дет, шт, овал, малин с желт полоск, 70-80г, неприхотл, урож.). Евро, 0,1</t>
  </si>
  <si>
    <t>Томат Нептун F1 (ранний, ОГ, дет, пл/округ, красн, 60-100г, плотный, выравнен.). Евро, 0,05</t>
  </si>
  <si>
    <t>Томат Никола (ОГ, ПУ, дет, округ, красн, 75-100г, стабильно урож.). Евро, 0,1</t>
  </si>
  <si>
    <t>Томат Новинка Приднестровья (ОГ, ПУ, дет, цилинд, красн, 40-60г, высокопродукт.). Евро, 0,2</t>
  </si>
  <si>
    <t>Томат Новичок (ОГ, ПУ, дет, овал, оранж-красн, 80-110г, неприхотл, товарн.). Евро, 0,2</t>
  </si>
  <si>
    <t>I0000002021</t>
  </si>
  <si>
    <t>Томат Огни Москвы (ранний, ОГ, ПУ, дет, округ, темн-красн, до 120г, не растреск. при консерв.). Евро, 0,1</t>
  </si>
  <si>
    <t>Томат Огородник (теп, ПУ, индет, пл/округ, красн, 150-250г, холодост, высокоурож.). Евро, 0,1</t>
  </si>
  <si>
    <t>Томат Оранжевые сливки (ПУ, полудет, сливовид, ярко-оранж, 40-60г, холодост, консер.). Евро, 0,1</t>
  </si>
  <si>
    <t>Томат Парниковое чудо F1 (теп, ПУ, индет, окр, ярко-крас, 200-250г, для салатов и соков). Евро, 0,1</t>
  </si>
  <si>
    <t>Томат Парниковый крупноплодный F1 (ЗГ, индет, пл/окр, крас, 250-300г, салатный). Евро, 0,05</t>
  </si>
  <si>
    <t>Томат Парниковый урожайный F1 (ран/сп, ОГ, ПУ, дет, пл/окр, ярк-крас, 90-110г, длит.хран.). Евро, 0,05</t>
  </si>
  <si>
    <t>Томат Персик красный (ОГ, тепл, индет, округ, роз-красн, 180-200г, плотн, мясист.). Евро, 0,1</t>
  </si>
  <si>
    <t>I0000001708</t>
  </si>
  <si>
    <t>Томат Перцевидный оранжевый (ПУ, тепл, индет, перцевид, оранж, 135-150г, теневыносл). Евро, 0,1</t>
  </si>
  <si>
    <t>Томаты Царские</t>
  </si>
  <si>
    <t>Томат Петр Первый F1 (ХИТ! ЗГ, индет, овал, красн, 80-90г, для засолки и консерв.). Евро, 0,05</t>
  </si>
  <si>
    <t>Томат Пышная купчишка F1 (ОГ, тепл, индет, окр, пл/окр, красн, 200-250г, плотн, мясист.). Евро, 0,05</t>
  </si>
  <si>
    <t>Томат Разносол (ранний, ОГ, тепл, дет, штамб, пл/округ, красн, до 70г, стабильно урож, консервн.). Евро, 0,1</t>
  </si>
  <si>
    <t>Томаты Конфетки с грядки</t>
  </si>
  <si>
    <t>Томат Райская конфетка F1 (ХИТ! ранний, тепл, ПУ, индет, округ, ярко-красн, 15-20г, для цел/пл консерв.). Евро, 0,05</t>
  </si>
  <si>
    <t>Томат Райское наслаждение (теп, ПУ, индет, пл/окр, сл/ребр, ярко-крас, 400-500г, рекорд 800г, салатн.). Евро, 0,1</t>
  </si>
  <si>
    <t>Томат Райское яблочко (ранний, ОГ, ПУ, полудет, округ, красн, 70-80г, неприхотл, хорошо завяз. плоды). Евро, 0,2</t>
  </si>
  <si>
    <t>Томат Ранний грунтовый (ранний, ОГ, ПУ, дет, пл/округ, красн, до 150г, холодост, стабил.урож.). Евро, 0,2</t>
  </si>
  <si>
    <t>Томат Розовое чудо F1 (ультраск/спел, ОГ, ПУ, дет, округ, малин, 100-110г, сладкий). Евро, 0,05</t>
  </si>
  <si>
    <t>Томат Розовый лидер (ХИТ! очень ранний, ОГ, ПУ, дет, штамб, округ, роз-малин, 120-150г, сочный, для соков). Евро, 0,1</t>
  </si>
  <si>
    <t>Томат Розовый царь (ОГ, ПУ, индет, окр, пл/окр, малин, 250-300г, сахаристый, салатный). Евро, 0,1</t>
  </si>
  <si>
    <t>Томат Русский богатырь (ОГ, ПУ, пар, индет, округ, красн, 350-500 (до 800)г, салатн.). Евро, 0,1</t>
  </si>
  <si>
    <t>Томат Русский витязь F1 (тепл, индет, пл/окр, розов, 230-280г, в кисти 5-6пл, стрессоуст.). Евро, 0,05</t>
  </si>
  <si>
    <t>Томат Русский царь F1 (ЗГ, индет, округ, розов, 230-250г, сочн, мясист, высокоурож.). Евро, 0,05</t>
  </si>
  <si>
    <t>Томат Рябчик (ОГ, ПУ, дет, пл/округ, красн с желт полос, 200-300г, сладкий, оригинал.). Евро, 0,2</t>
  </si>
  <si>
    <t>Томат Садовая жемчужина (ХИТ! супер/ран, ОГ, ПУ, дет, окр, роз, 15-20г, декор, для цел/пл конс.). Евро, 0,2</t>
  </si>
  <si>
    <t>I0000015189</t>
  </si>
  <si>
    <t>Томаты ШокоЛандия</t>
  </si>
  <si>
    <t>томат Самбол Полосатый з/г (ср/спел., ПУ, индет, плоск/окр, коричн.с зелен.полосками, 200-500г, нежный.,сочн., для салат, соков). Евро, 0,1</t>
  </si>
  <si>
    <t>Томат Самоцвет золотой F1 (ХИТ! ЗГ, индет, эллипсовид, желт, 30-50г, для суш, замороз.). Евро, 0,05</t>
  </si>
  <si>
    <t>Томат Самоцвет изумрудный F1 (ХИТ! ранний, ЗГ, индет, сливовид, зелен, 30-40г, сочн, урож-ый). Евро, 0,1</t>
  </si>
  <si>
    <t>Томат Самоцвет лучистый F1 (ОГ, тепл, индет, удл-овал с остр кончиком, крас с оранж полос, 25-45г, сочн, слад.). Евро, 0,1</t>
  </si>
  <si>
    <t>Томат Самоцвет нефритовый F1 (ХИТ! ранний, ЗГ, индет, округ, светло-зелен, 20-30г, сладк. с кислинк, урожайн.). Евро, 0,1</t>
  </si>
  <si>
    <t>Томат Самоцвет сахарный F1 (ранний, ЗГ, индет, округ, красн в желт полос, 30-60г, декор, сладкий). Евро, 0,05</t>
  </si>
  <si>
    <t>I0000002062</t>
  </si>
  <si>
    <t>Томат Самран (самый ранний) (ранний, ОГ, дет, пл/окр, ярко-красн, 60-120г, для соков). Евро, 0,1</t>
  </si>
  <si>
    <t>Томат Санчо Панса F1 (парн, тепл, индет, окр, ярко-желт, 150-200г, выс.сод. каротина и сахара). Евро, 0,1</t>
  </si>
  <si>
    <t>Томаты Сахарные</t>
  </si>
  <si>
    <t>Томат Сахар белый (теп, ПУ, индет, окр, пл/окр, желт-крем, 100-120г, вкусн, для диет.пит.). Евро, 0,1</t>
  </si>
  <si>
    <t>I0000002381</t>
  </si>
  <si>
    <t>Томат Сахар жёлтый (ХИТ! теп, ПУ, индет, пл/окр, лимон-желт, 250-350г, мясист, сладк, аромат.). Евро, 0,1</t>
  </si>
  <si>
    <t>Томат Сахар красный (ХИТ! тепл, ПУ, индет, округ, красн, 80-100г, салатн, урожайн.). Евро, 0,1</t>
  </si>
  <si>
    <t>Томат Сахарная слива жёлтая (скоросп, ЗГ, полудет, окр-сливовид, желт, 20-25г, для консер.ассорти). Евро, 0,2</t>
  </si>
  <si>
    <t>Томат Сахарная слива красная (ХИТ! скоросп, ЗГ, полудет, удл-сливовид, крас, 20-25г, консер. в соб.соку). Евро, 0,2</t>
  </si>
  <si>
    <t>Томат Сахарная слива малиновая (скоросп, ЗГ, полудет, удл-сливовид, красн-малин, 20-25г, сахарн.). Евро, 0,2</t>
  </si>
  <si>
    <t>I0000000632</t>
  </si>
  <si>
    <t>Томат Сахарный бизон (ОГ, парн, теп, дет, конусовид, роз-красн, 350-400г, сахарн, салатн.). Евро, 0,1</t>
  </si>
  <si>
    <t>Томат Свит черри F1 (ХИТ! ультраск/сп, пар, теп, индет, окр, инт-крас, 20-30г, суперслад, конфетн.дерево). Евро, 0,05</t>
  </si>
  <si>
    <t>Томат Северянин (ран/сп, ОГ, ПУ, дет, округ, красн, 120-150г, холодост, устойч. к перепад. темпер.). Евро, 0,1</t>
  </si>
  <si>
    <t>Томат Семь сорок F1 (ранний, ОГ, тепл, дет, округ, красн, 220-250г, жаростойк, для засола). Евро, 0,05</t>
  </si>
  <si>
    <t>Томат Сергей F1 (ЗГ, индет, пл/окр, ярк-розов, до 300г, мясист, товарн, урожайн.). Евро, 0,05</t>
  </si>
  <si>
    <t>Томат Сердцевидный консервный (ОГ, ПУ, дет, сердцев, красн, 60-70г, плотн, сахарн.). Евро, 0,1</t>
  </si>
  <si>
    <t>Томат Сестра F1 (ранний, ЗГ, полудет, пл/окр, ярко-красн, 140-160г, завяз.плод при пониж.освещен.). Евро, 0,05</t>
  </si>
  <si>
    <t>Томат Скороспелка (ранний, ОГ, ПУ, дет, пл/окр, красн, до 150г, холодост, неприхотл.). Евро, 0,2</t>
  </si>
  <si>
    <t>Томат Скороспелый Амурский (очень ран, ПУ, дет, окр, ярк-крас, 30-40г, неприхот, цел/пл консерв.). Евро, 0,1</t>
  </si>
  <si>
    <t>Томат Сладкоежка (скоросп, ОГ, пар, индет, округ, красн, 15-20г, декор, сладк, для джема, сушки). Евро, 0,2</t>
  </si>
  <si>
    <t>Томат Сосулька розовая (пар, теп, индет, удлин, ярк-роз, до 120г, плот, для цел/пл консер.). Евро, 0,1</t>
  </si>
  <si>
    <t>Томат Софья F1 (ранний, ОГ, ПУ, дет, конусов, красн, 60-70г, жарост, высокоурож.). Евро, 0,05</t>
  </si>
  <si>
    <t>I0000002555</t>
  </si>
  <si>
    <t>Томаты Спрут</t>
  </si>
  <si>
    <t>Томат Спрут сливка оранжевая F1 (ран/сп, ЗГ, теп, индет, овал, желт-оранж, 15-20г, томат-дерево, кистев, консерн). Евро, 0,03</t>
  </si>
  <si>
    <t>Томат Субарктик (суперскороспел, ОГ, ПУ, дет, округ, красн, 40-50г, урожай в любое лето). Евро, 0,2</t>
  </si>
  <si>
    <t>Томат Счастье F1 (ХИТ! ЗГ, индет, пл/окр сл/реб, насыщ-роз, 250-300г, очень плотный). Евро, 0,05</t>
  </si>
  <si>
    <t>Томат Талалихин 186 (ранний, ОГ, ПУ, дет, пл/окр сл/реб, красн, 75-100г, выносливый). Евро, 0,2</t>
  </si>
  <si>
    <t>Томат Татьяна (ХИТ! ранний, ОГ, ПУ, дет, шт, округ, красн, до 250г, выносл, высокоурож.). Евро, 0,1</t>
  </si>
  <si>
    <t>I0000002029</t>
  </si>
  <si>
    <t>Томат Толстый сосед F1 (ЗГ, индет, округ, красн, 150-190 г, урожайн, транспортаб.). Евро, 0,03</t>
  </si>
  <si>
    <t>Томат Толстяк F1 (ОГ, тепл, индет, окр-кубовид, сл/ребр, красн, 200-250г, очень вкусный!). Евро, 0,1</t>
  </si>
  <si>
    <t>I0000014383</t>
  </si>
  <si>
    <t>томат Трюфель Красный з/г (ПУ, тепл, индет, грушевидн., ребр,ярк- красн, 150-300г,мясист.,сладк., в св.виде,соков,переработк.)). Евро, 0,1</t>
  </si>
  <si>
    <t>Томат Устинья F1 (ОГ, ПУ, дет, овал с мал.нос, ярко-красн, 70-90г, для цел/плод консерв.). Евро, 0,1</t>
  </si>
  <si>
    <t>Томат Фаворит СеДеК (ранний, ОГ, ПУ, полудет, овал-кубов, оранж-красн, 80-100г, для консерв.). Евро, 0,2</t>
  </si>
  <si>
    <t>I0000002827</t>
  </si>
  <si>
    <t>Томат Царёк F1 (ОГ, ПУ, дет, сливовид, красн, 70-100г, неприхотл, консервн.). Евро, 0,05</t>
  </si>
  <si>
    <t>I0000002883</t>
  </si>
  <si>
    <t>Томат Царица F1 (ОГ, ПУ, дет, удл-цилиндр, красн, 80-100г, высок. сод. сухого вещ-ва). Евро, 0,05</t>
  </si>
  <si>
    <t>I0000001149</t>
  </si>
  <si>
    <t>Томат Царь Давид (ОГ, ПУ, дет, шт, удл-цил с нос, ярко-крас, 60-70г, урож-ый, бочк. засол.). Евро, 0,1</t>
  </si>
  <si>
    <t>Томат Царь полей (ОГ, ПУ, дет, овал-сливов, красн, 60-80г, высокоур, для длит. хранен.). Евро, 0,1</t>
  </si>
  <si>
    <t>I0000000057</t>
  </si>
  <si>
    <t>Томат Черри со сливками F1 (парн, тепл, индет, овал, ярко-роз, 25-40г, декор, товарн, консер.). Евро, 0,05</t>
  </si>
  <si>
    <t>Томат Чудо посла (ранний, ОГ, ПУ, дет, удл-сливовид, красн, 80-100г, завяз. плоды при выс. температ.). Евро, 0,2</t>
  </si>
  <si>
    <t>I0000002030</t>
  </si>
  <si>
    <t>Томат Шанс F1 (ЗГ, индет, округ, розов, 200-300г, мякоть арбузн, салатный). Евро, 0,05</t>
  </si>
  <si>
    <t>ТЫКВА</t>
  </si>
  <si>
    <t>I0000002032</t>
  </si>
  <si>
    <t>тыква Адажио(ср.спел., круп.-плодн.,чалмовидн.,оранж./ярк.-оранж.,2,5-3 кг.). Евро, 1</t>
  </si>
  <si>
    <t>I0000002033</t>
  </si>
  <si>
    <t>тыква Барыня F1 (ср.спел., круп.-плодн.,окр.-плоск.,бел.-крем../желт.,3-3,5 кг.). Евро, 1</t>
  </si>
  <si>
    <t>тыква Бэмби (декоративная)(мелкоплодн.,до 10 см., бел.с зел.полоск.). Евро, 0,25</t>
  </si>
  <si>
    <t>тыква Валентина F1 (ср.спел., круп.-плодн.,окр.,св.сер./св.-желт.,8-10 кг.). Евро, 1</t>
  </si>
  <si>
    <t>тыква Витаминная(мускатная)(поздн.спел., короткоовал.,бур.-коричн./ярк.-оранж.,4,5-6,8 кг.). Евро, 2</t>
  </si>
  <si>
    <t>тыква Волжская серая 92(ср.спел., круп.-плодн.,сплюснут.,св.-сер./желт.,6,3-9 кг.). Евро, 2</t>
  </si>
  <si>
    <t>тыква Грибовская зимняя(поздн.спел., круп.-плодн.,шаров.-сплюснут.,сер./желт.,3-4 кг.). Евро, 2</t>
  </si>
  <si>
    <t>тыква Жёлтая из Парижа(ср.поздн., круп.-плодн.,окр.,желт./желт.-оранж., 30-40 кг.). Евро, 2</t>
  </si>
  <si>
    <t>тыква Жонглер (декоративная)(быстрораст.,трав.растен. с плод. разн.форм и цвет., использ.для верт.озелен.). Евро, 1</t>
  </si>
  <si>
    <t>тыква Каротиновая F1(ср.спел., круп.-плодн.,удл.-цилиндр.,сер.-зелен./желт.-оранж.,3-4 кг.). Евро, 1,5</t>
  </si>
  <si>
    <t>тыква Конфетка (ср.спел., круп.-плодн.,окр.,т.-красн./красн.-оранж.,1,5-2 кг.). Евро, 2</t>
  </si>
  <si>
    <t>I0000002038</t>
  </si>
  <si>
    <t>тыква Краса Огорода F1 (ср.поздн., круп.-плодн.,окр.-овал.,ярк.-оранж./желт.-оранж.,6-8 кг.). Евро, 1</t>
  </si>
  <si>
    <t>I0000002039</t>
  </si>
  <si>
    <t>тыква Красная Вкусная F1 (ср.поздн., круп.-плодн.,окр.,оранж./кр.-оранж.,до 2,5 кг.). Евро, 1</t>
  </si>
  <si>
    <t>тыква Крупноплодная 1(ср.спел., круп.-плодн.,слабосплюснут.,сер./желт.,8-12 кг.). Евро, 2</t>
  </si>
  <si>
    <t>тыква Купчиха(ср.спел., круп.-плодн.,окр.,оранж.-желт./оранж.,8-10 кг.). Евро, 2</t>
  </si>
  <si>
    <t>тыква Лечебная(ран.спел., круп.-плодн.,сплюснут.,св.-сер../оранж.,3-5 кг.). Евро, 1,5</t>
  </si>
  <si>
    <t>тыква Милашка (декоративная)(однол.быстрораст.сорт, зел.с желт.полос.,для вертик.озеленен.). Евро, 0,25</t>
  </si>
  <si>
    <t>I0000002042</t>
  </si>
  <si>
    <t>тыква Розовая Фея (ран.спел.,крупноплодн.,чалмовидн.,роз.-крем./ярк.оранж.,4-7 кг.). Евро, 1</t>
  </si>
  <si>
    <t>тыква Россиянка (ран.спел.,крупноплодн.,чалмовидн.,оранж./ярк.оранж.,1,5-2 кг.). Евро, 2</t>
  </si>
  <si>
    <t>тыква Сахарная Голова F1 (ср.поздн.,крупноплодн.,мускатн.,плоск.-окр.,св.-сер../желт.,15-30 кг.). Евро, 1</t>
  </si>
  <si>
    <t>тыква Сахарная Токио F1(ср.спел.,крупноплодн.,окр.-овал.,сер./желт.,2,5-3 кг.). Евро, 1</t>
  </si>
  <si>
    <t>тыква Татьяна (ср.спел.,крупноплодн.,окр.-овал.,оранж./желт.оранж.,6-8 кг.). Евро, 1,5</t>
  </si>
  <si>
    <t>I0000002047</t>
  </si>
  <si>
    <t>тыква Украшение Сада F1(декоративная смесь сортов,с мелк.плод.разн.разм.и расцвет., для вертик.изгор.) . Евро, 1</t>
  </si>
  <si>
    <t>тыква Фанго (декоративная) (однолетн.,быстрораст.,для вертик. озелен., плоды пестр.,в форме гриба). Евро, 1</t>
  </si>
  <si>
    <t>УРОЖАЙНАЯ ГРЯДКА</t>
  </si>
  <si>
    <t>кабачок Цукеша УГ (цилиндрич, зелёный, обильное плодонош.). Евро, 2</t>
  </si>
  <si>
    <t>I0000002945</t>
  </si>
  <si>
    <t>кориандр Король Рынка  УГ. Евро, 2</t>
  </si>
  <si>
    <t>I0000003001</t>
  </si>
  <si>
    <t>огурец Ла Белла F1 з/г  УГ (ПО, ОГ, ПУ, 9-11см, мелкошип, 4,8-6кг/кв.м, плотн, сладк, для консерв. и солений). Евро, 0,2</t>
  </si>
  <si>
    <t>огурец Нежинский  УГ (ПО, ОГ, ПУ, 9-13см, 90-110г, 4,9кг/кв.м, хруст, плодон.до осени, для засола и консер.). Евро, 0,5</t>
  </si>
  <si>
    <t>I0000003003</t>
  </si>
  <si>
    <t>пряностьТимьян овощной Змейка (чабрец,Богородская трава) УГ. Евро, 0,05</t>
  </si>
  <si>
    <t>томат Альфа УГ  (очень ран, ОГ, ПУ, супердет, штамб, пл/округ, красн, 50-70г, урожайн.). Евро, 0,1</t>
  </si>
  <si>
    <t>томат Аня УГ  (ОГ, ПУ, дет, овал-округ, оранж-красн, 90-120г, плотный). Евро, 0,1</t>
  </si>
  <si>
    <t>томат Грот УГ  (ранний, ОГ, ПУ, дет, округ, красн, 60-80г, холодостойк.). Евро, 0,1</t>
  </si>
  <si>
    <t>томат Маруся УГ  (ОГ, ПУ, дет, сливовид, красн, 60-80г, плотн, для засола и консерв.). Евро, 0,1</t>
  </si>
  <si>
    <t>томат Суб-Арктик УГ  (суперскороспел, ОГ, ПУ, дет, округ, красн, 40-50г, урожай в любое лето). Евро, 0,2</t>
  </si>
  <si>
    <t>I0000003034</t>
  </si>
  <si>
    <t>тыква Стофунтовая УГ (ср.поздн.,крупноплодн.,шаровидн.,крем.-роз/крем.-желт.,10-20 кг.). Евро, 2</t>
  </si>
  <si>
    <t>ФАСОЛЬ</t>
  </si>
  <si>
    <t>фасоль Лаура® (спаржевая)(ХИТ! ск.спел.,раст..30-40 см.,узк.,св.желт.,11-13 см). Евро, 5</t>
  </si>
  <si>
    <t>фасоль Мечта Хозяйки (овощная)(ср.ран., до 40 см.,плоск.,зелен.,16-18 см). Евро, 5</t>
  </si>
  <si>
    <t>фасоль Услада (зерновая)(ран.спел.,55-65см.,удл.,бел.,12-16 см). Евро, 5</t>
  </si>
  <si>
    <t>ФЕНХЕЛЬ</t>
  </si>
  <si>
    <t>фенхель Казанова(ср.спел.,плотн.,анис.аром.,100-150 г.). Евро, 0,5</t>
  </si>
  <si>
    <t>ЦВЕТЫ</t>
  </si>
  <si>
    <t>цветок Аквилегия Красная звезда (вид: голубая, цвет: алая) . Евро, 0,05</t>
  </si>
  <si>
    <t>цветок Аквилегия Сонгбира (вид: голубая, окраска белая, золотисто-желтая, розовая, сиреневая, синяя) . Евро, 0,05</t>
  </si>
  <si>
    <t>цветок Анхуза Росинка (капская, смесь голубого, белого и розового окраса) . Евро, 0,1</t>
  </si>
  <si>
    <t>цветок Армерия Элегия (приморская, лилово-розовая) . Евро, 0,1</t>
  </si>
  <si>
    <t>цветок Брахикома Вальс (вид: иберисолистная, смесь розовой, белой, голубой окраски) . Евро, 0,1</t>
  </si>
  <si>
    <t>цветок Броваллия Верность (американская, небесно-голубая) . Евро, 0,1</t>
  </si>
  <si>
    <t>I0000014187</t>
  </si>
  <si>
    <t>цветок Виола Песчаный берег F1 (вид: витрокка, серия: рондо, темно-бардовая и ярко-желтая с темно-бардовыми пятнами)  . Евро, 5</t>
  </si>
  <si>
    <t>цветок Гвоздика Краковяк (перистая, смесь розовых тонов) . Евро, 0,05</t>
  </si>
  <si>
    <t>цветок Георгина Аурика (культурная, ярко-оранжевая)  . Евро, 0,2</t>
  </si>
  <si>
    <t>цветок Гилия Орфей (головчатая, голубая) . Евро, 0,2</t>
  </si>
  <si>
    <t>цветок Горец Аметистовая крошка (головчатый, кораллово-розовый) . Евро, 0,1</t>
  </si>
  <si>
    <t>цветок Душистый горошек Венеция (чина душистая, маммут, смесь цветов) . Евро, 1</t>
  </si>
  <si>
    <t>цветок Душистый горошек Капри (чина душистая, голубой) . Евро, 1</t>
  </si>
  <si>
    <t>цветок Душистый горошек Мистер Смит (чина душистая, мачмейкер, фиолетово-лилово-белый) . Евро, 0,5</t>
  </si>
  <si>
    <t>цветок Душистый горошек Пезаро (чина душистая, спенсер, темно-бордово-красный) . Евро, 1</t>
  </si>
  <si>
    <t>цветок Душистый горошек Талисман (чина душистая, элеганс, смесь цветов в виде мотыльков) . Евро, 0,5</t>
  </si>
  <si>
    <t>цветок Душистый горошек Флейтист (чина душистая, карликовый, розово-оранжевый) . Евро, 0,5</t>
  </si>
  <si>
    <t>цветок Душистый табак Наваждение (декоративный, белый) . Евро, 0,1</t>
  </si>
  <si>
    <t>цветок Душистый табак Нюанс (декоративный, светло-салатовый) . Евро, 0,1</t>
  </si>
  <si>
    <t>цветок Кардиоспермум Жонглер (халикакабский, цветки белые, завязи сердцевидные) . Евро, 0,5</t>
  </si>
  <si>
    <t>цветок Клеома Камелия (колючая, фиолетовая с голубыми или пурпурными тычинками) . Евро, 0,2</t>
  </si>
  <si>
    <t>цветок Колеус Фауст (блюма, лист насыщенно-фиолетовый). Евро, 0,1</t>
  </si>
  <si>
    <t>цветок Колокольчик Реверанс (персиколистный, белоснежный) . Евро, 0,05</t>
  </si>
  <si>
    <t>цветок Колокольчик Сновидение (средний, розовый) . Евро, 0,1</t>
  </si>
  <si>
    <t>цветок Колокольчик Чашка с блюдцем (средний, высокорослая смесь белых, розовых, голубых тонов) . Евро, 0,1</t>
  </si>
  <si>
    <t>цветок Конвольвулюс Белый танец (вид: трехцветный, белоснежный) . Евро, 1</t>
  </si>
  <si>
    <t>цветок Кукуруза Земляничная (маис, декоративная, початки красно-коричневые) . Евро, 1</t>
  </si>
  <si>
    <t>цветок Кукуруза Самоцвет (маис, декоративная, початки с желтыми зернами с вкраплением белых, коричневых, черных) . Евро, 1</t>
  </si>
  <si>
    <t>цветок Левкой (маттиола) Снежная лавина  (вид: седой, цвет: сиренево-лиловой) . Евро, 0,1</t>
  </si>
  <si>
    <t>цветок Левкой (маттиола) Фуке (вид: седой, цвет: белоснежный) . Евро, 0,1</t>
  </si>
  <si>
    <t>цветок Матрикария Сноу Болл  (капская, помпоновидная, белая) . Евро, 0,1</t>
  </si>
  <si>
    <t>цветок Монарда Диана (лимонная, лиловая) . Евро, 0,1</t>
  </si>
  <si>
    <t>цветок Петуния Верность F1 (многоцветковая, низкорослая, лососево-розовая) . Евро, 10</t>
  </si>
  <si>
    <t>цветок Примула Скромница (высокая, смесь цветов) . Евро, 0,1</t>
  </si>
  <si>
    <t>цветок Смолевка (силена) Джамбо (небесная роза, смесь голубых, розовых, лиловые, белых цветов) . Евро, 0,5</t>
  </si>
  <si>
    <t>цветок Спилантес Мятный вкус (огородный, желто коричневый). Евро, 0,05</t>
  </si>
  <si>
    <t>цветок Фиалка Дракоша (вид: витрокка, швейцарский гигант, желто-красная с темным пятном) . Евро, 0,05</t>
  </si>
  <si>
    <t>цветок Фиалка Кларет (вид: витрокка, швейцарский гигант, винно-красная с черным пятном) . Евро, 0,05</t>
  </si>
  <si>
    <t>цветок Хризантема Глория (посевная, золотисто-желтая с темно-желтым центром) . Евро, 0,5</t>
  </si>
  <si>
    <t>цветок Целозия Фламандец (перистая, золотисто-желтая) . Евро, 0,2</t>
  </si>
  <si>
    <t>цветок Цинния Санта Мария (изящная, георгиновидная, смесь желтых, красных, розовых, лососевых, сиреневых цветов) . Евро, 0,5</t>
  </si>
  <si>
    <t>цветок Цинния Сеньорита (изящная, кактусовидная, нежно-розовая) . Евро, 0,25</t>
  </si>
  <si>
    <t>цветок Циноглоссум (чернокорень) Небосвод (вид: приятный, цвет: голубой) . Евро, 0,5</t>
  </si>
  <si>
    <t>цветок Шток-роза Королева красоты (вид: мальва розовая, цвет: ярко-розовая) . Евро, 0,1</t>
  </si>
  <si>
    <t>цветок Энотера  Сольвейг (миссурийская, золотисто-желтая) . Евро, 0,2</t>
  </si>
  <si>
    <t>10000руб - при отгрузке с оптового склада (самовывоз)</t>
  </si>
  <si>
    <t>РАСПРОДАЖА!!! СКИДКА 60%,цены в прайсе указаны без учета скидки.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</si>
</sst>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0000"/>
  </numFmts>
  <fonts count="49">
    <font>
      <sz val="8"/>
      <name val="Arial"/>
      <family val="2"/>
    </font>
    <font>
      <sz val="36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29"/>
      <name val="Arial"/>
      <family val="2"/>
    </font>
    <font>
      <sz val="9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29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u val="single"/>
      <sz val="8"/>
      <color indexed="30"/>
      <name val="Arial"/>
      <family val="2"/>
    </font>
    <font>
      <sz val="8"/>
      <name val="Segoe U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7" fillId="0" borderId="13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justify" wrapText="1"/>
    </xf>
    <xf numFmtId="0" fontId="7" fillId="33" borderId="12" xfId="0" applyNumberFormat="1" applyFont="1" applyFill="1" applyBorder="1" applyAlignment="1">
      <alignment horizontal="justify" wrapText="1"/>
    </xf>
    <xf numFmtId="0" fontId="7" fillId="33" borderId="10" xfId="0" applyNumberFormat="1" applyFont="1" applyFill="1" applyBorder="1" applyAlignment="1">
      <alignment horizontal="justify" wrapText="1"/>
    </xf>
    <xf numFmtId="0" fontId="7" fillId="33" borderId="11" xfId="0" applyNumberFormat="1" applyFont="1" applyFill="1" applyBorder="1" applyAlignment="1">
      <alignment horizontal="left" wrapText="1" indent="3"/>
    </xf>
    <xf numFmtId="0" fontId="7" fillId="33" borderId="12" xfId="0" applyNumberFormat="1" applyFont="1" applyFill="1" applyBorder="1" applyAlignment="1">
      <alignment horizontal="left" wrapText="1" indent="3"/>
    </xf>
    <xf numFmtId="0" fontId="7" fillId="33" borderId="10" xfId="0" applyNumberFormat="1" applyFont="1" applyFill="1" applyBorder="1" applyAlignment="1">
      <alignment horizontal="left" wrapText="1" indent="3"/>
    </xf>
    <xf numFmtId="0" fontId="7" fillId="33" borderId="11" xfId="0" applyNumberFormat="1" applyFont="1" applyFill="1" applyBorder="1" applyAlignment="1">
      <alignment horizontal="left" wrapText="1" indent="6"/>
    </xf>
    <xf numFmtId="0" fontId="7" fillId="33" borderId="12" xfId="0" applyNumberFormat="1" applyFont="1" applyFill="1" applyBorder="1" applyAlignment="1">
      <alignment horizontal="left" wrapText="1" indent="6"/>
    </xf>
    <xf numFmtId="0" fontId="7" fillId="33" borderId="10" xfId="0" applyNumberFormat="1" applyFont="1" applyFill="1" applyBorder="1" applyAlignment="1">
      <alignment horizontal="left" wrapText="1" indent="6"/>
    </xf>
    <xf numFmtId="0" fontId="0" fillId="34" borderId="13" xfId="0" applyNumberFormat="1" applyFont="1" applyFill="1" applyBorder="1" applyAlignment="1">
      <alignment horizontal="left"/>
    </xf>
    <xf numFmtId="0" fontId="9" fillId="34" borderId="13" xfId="0" applyNumberFormat="1" applyFont="1" applyFill="1" applyBorder="1" applyAlignment="1">
      <alignment horizontal="left"/>
    </xf>
    <xf numFmtId="0" fontId="10" fillId="34" borderId="13" xfId="0" applyNumberFormat="1" applyFon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left" wrapText="1"/>
    </xf>
    <xf numFmtId="1" fontId="9" fillId="34" borderId="13" xfId="0" applyNumberFormat="1" applyFont="1" applyFill="1" applyBorder="1" applyAlignment="1">
      <alignment horizontal="right" wrapText="1"/>
    </xf>
    <xf numFmtId="3" fontId="9" fillId="34" borderId="13" xfId="0" applyNumberFormat="1" applyFont="1" applyFill="1" applyBorder="1" applyAlignment="1">
      <alignment horizontal="right" wrapText="1"/>
    </xf>
    <xf numFmtId="2" fontId="9" fillId="34" borderId="13" xfId="0" applyNumberFormat="1" applyFont="1" applyFill="1" applyBorder="1" applyAlignment="1">
      <alignment horizontal="right"/>
    </xf>
    <xf numFmtId="0" fontId="11" fillId="34" borderId="13" xfId="0" applyNumberFormat="1" applyFont="1" applyFill="1" applyBorder="1" applyAlignment="1">
      <alignment horizontal="left"/>
    </xf>
    <xf numFmtId="1" fontId="0" fillId="0" borderId="13" xfId="0" applyNumberFormat="1" applyFont="1" applyBorder="1" applyAlignment="1">
      <alignment horizontal="left" wrapText="1"/>
    </xf>
    <xf numFmtId="164" fontId="9" fillId="34" borderId="13" xfId="0" applyNumberFormat="1" applyFont="1" applyFill="1" applyBorder="1" applyAlignment="1">
      <alignment horizontal="right" wrapText="1"/>
    </xf>
    <xf numFmtId="165" fontId="0" fillId="34" borderId="13" xfId="0" applyNumberFormat="1" applyFont="1" applyFill="1" applyBorder="1" applyAlignment="1">
      <alignment horizontal="left"/>
    </xf>
    <xf numFmtId="2" fontId="9" fillId="34" borderId="13" xfId="0" applyNumberFormat="1" applyFont="1" applyFill="1" applyBorder="1" applyAlignment="1">
      <alignment horizontal="right" wrapText="1"/>
    </xf>
    <xf numFmtId="0" fontId="1" fillId="35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35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35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35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5" fillId="36" borderId="0" xfId="0" applyNumberFormat="1" applyFont="1" applyFill="1" applyAlignment="1">
      <alignment horizontal="center" wrapText="1"/>
    </xf>
    <xf numFmtId="165" fontId="0" fillId="37" borderId="13" xfId="0" applyNumberFormat="1" applyFont="1" applyFill="1" applyBorder="1" applyAlignment="1">
      <alignment horizontal="left"/>
    </xf>
    <xf numFmtId="0" fontId="9" fillId="37" borderId="13" xfId="0" applyNumberFormat="1" applyFont="1" applyFill="1" applyBorder="1" applyAlignment="1">
      <alignment horizontal="left"/>
    </xf>
    <xf numFmtId="0" fontId="10" fillId="37" borderId="13" xfId="0" applyNumberFormat="1" applyFont="1" applyFill="1" applyBorder="1" applyAlignment="1">
      <alignment horizontal="center"/>
    </xf>
    <xf numFmtId="0" fontId="9" fillId="37" borderId="13" xfId="0" applyNumberFormat="1" applyFont="1" applyFill="1" applyBorder="1" applyAlignment="1">
      <alignment horizontal="left" wrapText="1"/>
    </xf>
    <xf numFmtId="164" fontId="9" fillId="37" borderId="13" xfId="0" applyNumberFormat="1" applyFont="1" applyFill="1" applyBorder="1" applyAlignment="1">
      <alignment horizontal="right" wrapText="1"/>
    </xf>
    <xf numFmtId="3" fontId="9" fillId="37" borderId="13" xfId="0" applyNumberFormat="1" applyFont="1" applyFill="1" applyBorder="1" applyAlignment="1">
      <alignment horizontal="right" wrapText="1"/>
    </xf>
    <xf numFmtId="2" fontId="9" fillId="37" borderId="13" xfId="0" applyNumberFormat="1" applyFont="1" applyFill="1" applyBorder="1" applyAlignment="1">
      <alignment horizontal="right"/>
    </xf>
    <xf numFmtId="0" fontId="11" fillId="37" borderId="13" xfId="0" applyNumberFormat="1" applyFont="1" applyFill="1" applyBorder="1" applyAlignment="1">
      <alignment horizontal="left"/>
    </xf>
    <xf numFmtId="1" fontId="9" fillId="37" borderId="13" xfId="0" applyNumberFormat="1" applyFont="1" applyFill="1" applyBorder="1" applyAlignment="1">
      <alignment horizontal="right" wrapText="1"/>
    </xf>
    <xf numFmtId="0" fontId="0" fillId="37" borderId="13" xfId="0" applyNumberFormat="1" applyFont="1" applyFill="1" applyBorder="1" applyAlignment="1">
      <alignment horizontal="left"/>
    </xf>
    <xf numFmtId="2" fontId="9" fillId="37" borderId="13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0DCC0"/>
      <rgbColor rgb="00993366"/>
      <rgbColor rgb="00FF5050"/>
      <rgbColor rgb="00CCFFFF"/>
      <rgbColor rgb="00FFFAD9"/>
      <rgbColor rgb="0000640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0</xdr:rowOff>
    </xdr:from>
    <xdr:to>
      <xdr:col>5</xdr:col>
      <xdr:colOff>342900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0"/>
          <a:ext cx="4476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71"/>
  <sheetViews>
    <sheetView tabSelected="1" zoomScalePageLayoutView="0" workbookViewId="0" topLeftCell="A51">
      <selection activeCell="F48" sqref="F1:F16384"/>
    </sheetView>
  </sheetViews>
  <sheetFormatPr defaultColWidth="9.33203125" defaultRowHeight="11.25" outlineLevelRow="3"/>
  <cols>
    <col min="1" max="1" width="12.66015625" style="1" customWidth="1"/>
    <col min="2" max="2" width="11.83203125" style="1" customWidth="1"/>
    <col min="3" max="3" width="8.83203125" style="1" customWidth="1"/>
    <col min="4" max="4" width="9.5" style="1" customWidth="1"/>
    <col min="5" max="5" width="11.5" style="1" customWidth="1"/>
    <col min="6" max="6" width="60.83203125" style="1" customWidth="1"/>
    <col min="7" max="7" width="7.66015625" style="1" customWidth="1"/>
    <col min="8" max="8" width="10.16015625" style="1" customWidth="1"/>
    <col min="9" max="9" width="9.16015625" style="1" customWidth="1"/>
    <col min="10" max="10" width="10.66015625" style="1" customWidth="1"/>
    <col min="11" max="11" width="13.5" style="1" customWidth="1"/>
    <col min="12" max="12" width="11.16015625" style="1" customWidth="1"/>
    <col min="13" max="13" width="11.5" style="1" customWidth="1"/>
    <col min="14" max="14" width="14.16015625" style="1" customWidth="1"/>
    <col min="15" max="16384" width="9.83203125" style="0" customWidth="1"/>
  </cols>
  <sheetData>
    <row r="1" spans="1:14" ht="44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.7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2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2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2">
      <c r="A7" s="37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ht="12">
      <c r="A8" s="2" t="s">
        <v>569</v>
      </c>
    </row>
    <row r="9" ht="12">
      <c r="A9" s="2" t="s">
        <v>7</v>
      </c>
    </row>
    <row r="10" ht="12">
      <c r="A10" s="2" t="s">
        <v>8</v>
      </c>
    </row>
    <row r="11" spans="1:14" ht="24.75" customHeight="1">
      <c r="A11" s="38" t="s">
        <v>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/>
      <c r="M11"/>
      <c r="N11"/>
    </row>
    <row r="12" ht="12">
      <c r="A12" s="2" t="s">
        <v>10</v>
      </c>
    </row>
    <row r="13" spans="1:14" ht="12">
      <c r="A13" s="37" t="s">
        <v>11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ht="12">
      <c r="A14" s="2" t="s">
        <v>12</v>
      </c>
    </row>
    <row r="15" ht="12">
      <c r="A15" s="2" t="s">
        <v>13</v>
      </c>
    </row>
    <row r="16" ht="12">
      <c r="A16" s="2" t="s">
        <v>14</v>
      </c>
    </row>
    <row r="17" spans="1:14" ht="24.75" customHeight="1">
      <c r="A17" s="38" t="s">
        <v>15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/>
      <c r="M17"/>
      <c r="N17"/>
    </row>
    <row r="18" spans="1:14" ht="24.75" customHeight="1">
      <c r="A18" s="38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/>
      <c r="M18"/>
      <c r="N18"/>
    </row>
    <row r="19" ht="12">
      <c r="A19" s="2" t="s">
        <v>17</v>
      </c>
    </row>
    <row r="20" spans="1:14" ht="12">
      <c r="A20" s="37" t="s">
        <v>18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3.5" customHeight="1">
      <c r="A21" s="38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ht="12">
      <c r="A22" s="2" t="s">
        <v>20</v>
      </c>
    </row>
    <row r="23" ht="12">
      <c r="A23" s="2" t="s">
        <v>21</v>
      </c>
    </row>
    <row r="24" spans="1:14" ht="12">
      <c r="A24" s="37" t="s">
        <v>22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ht="12">
      <c r="A25" s="2" t="s">
        <v>23</v>
      </c>
    </row>
    <row r="26" ht="12">
      <c r="A26" s="2" t="s">
        <v>24</v>
      </c>
    </row>
    <row r="27" ht="12">
      <c r="A27" s="2" t="s">
        <v>25</v>
      </c>
    </row>
    <row r="29" spans="1:14" ht="12">
      <c r="A29" s="37" t="s">
        <v>26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2">
      <c r="A30" s="39" t="s">
        <v>27</v>
      </c>
      <c r="B30" s="39"/>
      <c r="C30" s="39"/>
      <c r="D30" s="39"/>
      <c r="E30" s="3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2">
      <c r="A31" s="39" t="s">
        <v>28</v>
      </c>
      <c r="B31" s="39"/>
      <c r="C31" s="39"/>
      <c r="D31" s="39"/>
      <c r="E31" s="3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">
      <c r="A32" s="39" t="s">
        <v>29</v>
      </c>
      <c r="B32" s="39"/>
      <c r="C32" s="39"/>
      <c r="D32" s="39"/>
      <c r="E32" s="3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2">
      <c r="A33" s="39" t="s">
        <v>30</v>
      </c>
      <c r="B33" s="39"/>
      <c r="C33" s="39"/>
      <c r="D33" s="39"/>
      <c r="E33" s="3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2">
      <c r="A34" s="39" t="s">
        <v>31</v>
      </c>
      <c r="B34" s="39"/>
      <c r="C34" s="39"/>
      <c r="D34" s="39"/>
      <c r="E34" s="3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2">
      <c r="A35" s="39" t="s">
        <v>32</v>
      </c>
      <c r="B35" s="39"/>
      <c r="C35" s="39"/>
      <c r="D35" s="39"/>
      <c r="E35" s="3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2">
      <c r="A36" s="39" t="s">
        <v>33</v>
      </c>
      <c r="B36" s="39"/>
      <c r="C36" s="39"/>
      <c r="D36" s="39"/>
      <c r="E36" s="3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2">
      <c r="A37" s="39" t="s">
        <v>34</v>
      </c>
      <c r="B37" s="39"/>
      <c r="C37" s="39"/>
      <c r="D37" s="39"/>
      <c r="E37" s="3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2">
      <c r="A38" s="39" t="s">
        <v>35</v>
      </c>
      <c r="B38" s="39"/>
      <c r="C38" s="39"/>
      <c r="D38" s="39"/>
      <c r="E38" s="3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2">
      <c r="A39" s="39" t="s">
        <v>36</v>
      </c>
      <c r="B39" s="39"/>
      <c r="C39" s="39"/>
      <c r="D39" s="39"/>
      <c r="E39" s="3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2">
      <c r="A40" s="39" t="s">
        <v>37</v>
      </c>
      <c r="B40" s="39"/>
      <c r="C40" s="39"/>
      <c r="D40" s="39"/>
      <c r="E40" s="3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2">
      <c r="A41" s="39" t="s">
        <v>38</v>
      </c>
      <c r="B41" s="39"/>
      <c r="C41" s="39"/>
      <c r="D41" s="39"/>
      <c r="E41" s="3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2">
      <c r="A42" s="39" t="s">
        <v>39</v>
      </c>
      <c r="B42" s="39"/>
      <c r="C42" s="39"/>
      <c r="D42" s="39"/>
      <c r="E42" s="3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2">
      <c r="A43" s="39" t="s">
        <v>40</v>
      </c>
      <c r="B43" s="39"/>
      <c r="C43" s="39"/>
      <c r="D43" s="39"/>
      <c r="E43" s="3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2">
      <c r="A44" s="39" t="s">
        <v>41</v>
      </c>
      <c r="B44" s="39"/>
      <c r="C44" s="39"/>
      <c r="D44" s="39"/>
      <c r="E44" s="3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2">
      <c r="A45" s="39" t="s">
        <v>42</v>
      </c>
      <c r="B45" s="39"/>
      <c r="C45" s="39"/>
      <c r="D45" s="39"/>
      <c r="E45" s="3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2">
      <c r="A46" s="39" t="s">
        <v>43</v>
      </c>
      <c r="B46" s="39"/>
      <c r="C46" s="39"/>
      <c r="D46" s="39"/>
      <c r="E46" s="3"/>
      <c r="F46" s="40"/>
      <c r="G46" s="40"/>
      <c r="H46" s="40"/>
      <c r="I46" s="40"/>
      <c r="J46" s="40"/>
      <c r="K46" s="40"/>
      <c r="L46" s="40"/>
      <c r="M46" s="40"/>
      <c r="N46" s="40"/>
    </row>
    <row r="47" spans="7:14" ht="13.5">
      <c r="G47" s="2"/>
      <c r="H47" s="4" t="s">
        <v>44</v>
      </c>
      <c r="I47" s="3">
        <f>SUM(M55:M931)</f>
        <v>0</v>
      </c>
      <c r="J47" s="5"/>
      <c r="K47" s="6"/>
      <c r="L47" s="5"/>
      <c r="M47" s="7"/>
      <c r="N47" s="5"/>
    </row>
    <row r="48" spans="7:14" ht="13.5">
      <c r="G48" s="2"/>
      <c r="H48" s="4" t="s">
        <v>45</v>
      </c>
      <c r="I48" s="3">
        <f>SUM(L55:L931)</f>
        <v>0</v>
      </c>
      <c r="J48" s="5"/>
      <c r="K48" s="6"/>
      <c r="L48" s="5"/>
      <c r="M48" s="7"/>
      <c r="N48" s="5"/>
    </row>
    <row r="49" spans="1:14" ht="18">
      <c r="A49" s="41" t="s">
        <v>46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2.75">
      <c r="A50" s="42" t="s">
        <v>47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ht="13.5">
      <c r="A51" s="43" t="s">
        <v>48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25.5" customHeight="1">
      <c r="A52" s="44" t="s">
        <v>49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s="1" customFormat="1" ht="24" customHeight="1">
      <c r="A53" s="45" t="s">
        <v>570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s="8" customFormat="1" ht="45.75" customHeight="1">
      <c r="A54" s="9" t="s">
        <v>50</v>
      </c>
      <c r="B54" s="9" t="s">
        <v>51</v>
      </c>
      <c r="C54" s="10" t="s">
        <v>52</v>
      </c>
      <c r="D54" s="11" t="s">
        <v>53</v>
      </c>
      <c r="E54" s="11" t="s">
        <v>54</v>
      </c>
      <c r="F54" s="9" t="s">
        <v>55</v>
      </c>
      <c r="G54" s="12" t="s">
        <v>56</v>
      </c>
      <c r="H54" s="12" t="s">
        <v>57</v>
      </c>
      <c r="I54" s="12" t="s">
        <v>58</v>
      </c>
      <c r="J54" s="12" t="s">
        <v>59</v>
      </c>
      <c r="K54" s="12" t="s">
        <v>60</v>
      </c>
      <c r="L54" s="12" t="s">
        <v>61</v>
      </c>
      <c r="M54" s="12" t="s">
        <v>62</v>
      </c>
      <c r="N54" s="9" t="s">
        <v>63</v>
      </c>
    </row>
    <row r="55" spans="1:14" ht="12" customHeight="1">
      <c r="A55" s="13"/>
      <c r="B55" s="14"/>
      <c r="C55" s="14"/>
      <c r="D55" s="14"/>
      <c r="E55" s="14"/>
      <c r="F55" s="14" t="s">
        <v>64</v>
      </c>
      <c r="G55" s="14"/>
      <c r="H55" s="14"/>
      <c r="I55" s="14"/>
      <c r="J55" s="14"/>
      <c r="K55" s="14"/>
      <c r="L55" s="14"/>
      <c r="M55" s="14"/>
      <c r="N55" s="15"/>
    </row>
    <row r="56" spans="1:14" ht="12" customHeight="1" outlineLevel="1">
      <c r="A56" s="16"/>
      <c r="B56" s="17"/>
      <c r="C56" s="17"/>
      <c r="D56" s="17"/>
      <c r="E56" s="17"/>
      <c r="F56" s="17" t="s">
        <v>65</v>
      </c>
      <c r="G56" s="17"/>
      <c r="H56" s="17"/>
      <c r="I56" s="17"/>
      <c r="J56" s="17"/>
      <c r="K56" s="17"/>
      <c r="L56" s="17"/>
      <c r="M56" s="17"/>
      <c r="N56" s="18"/>
    </row>
    <row r="57" spans="1:14" ht="12" customHeight="1" outlineLevel="2">
      <c r="A57" s="19"/>
      <c r="B57" s="20"/>
      <c r="C57" s="20"/>
      <c r="D57" s="20"/>
      <c r="E57" s="20"/>
      <c r="F57" s="20" t="s">
        <v>66</v>
      </c>
      <c r="G57" s="20"/>
      <c r="H57" s="20"/>
      <c r="I57" s="20"/>
      <c r="J57" s="20"/>
      <c r="K57" s="20"/>
      <c r="L57" s="20"/>
      <c r="M57" s="20"/>
      <c r="N57" s="21"/>
    </row>
    <row r="58" spans="1:14" ht="12" customHeight="1" outlineLevel="2">
      <c r="A58" s="19"/>
      <c r="B58" s="20"/>
      <c r="C58" s="20"/>
      <c r="D58" s="20"/>
      <c r="E58" s="20"/>
      <c r="F58" s="20" t="s">
        <v>67</v>
      </c>
      <c r="G58" s="20"/>
      <c r="H58" s="20"/>
      <c r="I58" s="20"/>
      <c r="J58" s="20"/>
      <c r="K58" s="20"/>
      <c r="L58" s="20"/>
      <c r="M58" s="20"/>
      <c r="N58" s="21"/>
    </row>
    <row r="59" spans="1:14" ht="45.75" customHeight="1" outlineLevel="3">
      <c r="A59" s="22" t="s">
        <v>68</v>
      </c>
      <c r="B59" s="23" t="str">
        <f>HYPERLINK("http://www.sedek.ru/upload/iblock/058/arbuz_shuga_beybi_du.jpg","фото")</f>
        <v>фото</v>
      </c>
      <c r="C59" s="24"/>
      <c r="D59" s="24"/>
      <c r="E59" s="25"/>
      <c r="F59" s="25" t="s">
        <v>69</v>
      </c>
      <c r="G59" s="26">
        <v>1</v>
      </c>
      <c r="H59" s="25" t="s">
        <v>70</v>
      </c>
      <c r="I59" s="25" t="s">
        <v>71</v>
      </c>
      <c r="J59" s="27">
        <v>2000</v>
      </c>
      <c r="K59" s="28">
        <v>11</v>
      </c>
      <c r="L59" s="29"/>
      <c r="M59" s="29">
        <f>L59*K59</f>
        <v>0</v>
      </c>
      <c r="N59" s="30">
        <v>4690368038003</v>
      </c>
    </row>
    <row r="60" spans="1:14" ht="23.25" customHeight="1" outlineLevel="3">
      <c r="A60" s="22" t="s">
        <v>72</v>
      </c>
      <c r="B60" s="23" t="str">
        <f>HYPERLINK("http://www.sedek.ru/upload/iblock/897/gorokh_aleksandra_du.jpg","фото")</f>
        <v>фото</v>
      </c>
      <c r="C60" s="24"/>
      <c r="D60" s="24"/>
      <c r="E60" s="25"/>
      <c r="F60" s="25" t="s">
        <v>73</v>
      </c>
      <c r="G60" s="26">
        <v>5</v>
      </c>
      <c r="H60" s="25" t="s">
        <v>70</v>
      </c>
      <c r="I60" s="25" t="s">
        <v>71</v>
      </c>
      <c r="J60" s="26">
        <v>600</v>
      </c>
      <c r="K60" s="28">
        <v>11</v>
      </c>
      <c r="L60" s="29"/>
      <c r="M60" s="29">
        <f>L60*K60</f>
        <v>0</v>
      </c>
      <c r="N60" s="30">
        <v>4690368038041</v>
      </c>
    </row>
    <row r="61" spans="1:14" ht="23.25" customHeight="1" outlineLevel="3">
      <c r="A61" s="22" t="s">
        <v>74</v>
      </c>
      <c r="B61" s="23" t="str">
        <f>HYPERLINK("http://www.sedek.ru/upload/iblock/551/redka_zimnyaya_kruglaya_chernaya.jpg","фото")</f>
        <v>фото</v>
      </c>
      <c r="C61" s="24"/>
      <c r="D61" s="24"/>
      <c r="E61" s="25"/>
      <c r="F61" s="25" t="s">
        <v>75</v>
      </c>
      <c r="G61" s="26">
        <v>1</v>
      </c>
      <c r="H61" s="25" t="s">
        <v>70</v>
      </c>
      <c r="I61" s="25" t="s">
        <v>71</v>
      </c>
      <c r="J61" s="27">
        <v>1500</v>
      </c>
      <c r="K61" s="28">
        <v>11</v>
      </c>
      <c r="L61" s="29"/>
      <c r="M61" s="29">
        <f>L61*K61</f>
        <v>0</v>
      </c>
      <c r="N61" s="30">
        <v>4690368033282</v>
      </c>
    </row>
    <row r="62" spans="1:14" ht="34.5" customHeight="1" outlineLevel="3">
      <c r="A62" s="22" t="s">
        <v>76</v>
      </c>
      <c r="B62" s="23" t="str">
        <f>HYPERLINK("http://www.sedek.ru/upload/iblock/23f/svekla_egipetskaya_ploskaya.jpg","фото")</f>
        <v>фото</v>
      </c>
      <c r="C62" s="24"/>
      <c r="D62" s="24"/>
      <c r="E62" s="25"/>
      <c r="F62" s="25" t="s">
        <v>77</v>
      </c>
      <c r="G62" s="26">
        <v>3</v>
      </c>
      <c r="H62" s="25" t="s">
        <v>70</v>
      </c>
      <c r="I62" s="25" t="s">
        <v>71</v>
      </c>
      <c r="J62" s="26">
        <v>800</v>
      </c>
      <c r="K62" s="28">
        <v>11</v>
      </c>
      <c r="L62" s="29"/>
      <c r="M62" s="29">
        <f>L62*K62</f>
        <v>0</v>
      </c>
      <c r="N62" s="30">
        <v>4690368034227</v>
      </c>
    </row>
    <row r="63" spans="1:14" ht="23.25" customHeight="1" outlineLevel="3">
      <c r="A63" s="22" t="s">
        <v>78</v>
      </c>
      <c r="B63" s="23" t="str">
        <f>HYPERLINK("http://sedek.ru/upload/iblock/662/dushistyy_goroshek_vikont.jpg","фото")</f>
        <v>фото</v>
      </c>
      <c r="C63" s="24"/>
      <c r="D63" s="24"/>
      <c r="E63" s="25"/>
      <c r="F63" s="25" t="s">
        <v>79</v>
      </c>
      <c r="G63" s="31">
        <v>0.5</v>
      </c>
      <c r="H63" s="25"/>
      <c r="I63" s="25" t="s">
        <v>71</v>
      </c>
      <c r="J63" s="27">
        <v>1500</v>
      </c>
      <c r="K63" s="28">
        <v>11</v>
      </c>
      <c r="L63" s="29"/>
      <c r="M63" s="29">
        <f>L63*K63</f>
        <v>0</v>
      </c>
      <c r="N63" s="30">
        <v>4690368038560</v>
      </c>
    </row>
    <row r="64" spans="1:14" ht="23.25" customHeight="1" outlineLevel="3">
      <c r="A64" s="22" t="s">
        <v>80</v>
      </c>
      <c r="B64" s="23" t="str">
        <f>HYPERLINK("http://sedek.ru/upload/iblock/700/dushistyy_goroshek_lemington.jpg","фото")</f>
        <v>фото</v>
      </c>
      <c r="C64" s="24"/>
      <c r="D64" s="24"/>
      <c r="E64" s="25"/>
      <c r="F64" s="25" t="s">
        <v>81</v>
      </c>
      <c r="G64" s="31">
        <v>0.5</v>
      </c>
      <c r="H64" s="25"/>
      <c r="I64" s="25" t="s">
        <v>71</v>
      </c>
      <c r="J64" s="27">
        <v>1500</v>
      </c>
      <c r="K64" s="28">
        <v>11</v>
      </c>
      <c r="L64" s="29"/>
      <c r="M64" s="29">
        <f>L64*K64</f>
        <v>0</v>
      </c>
      <c r="N64" s="30">
        <v>4690368038577</v>
      </c>
    </row>
    <row r="65" spans="1:14" ht="12" customHeight="1" outlineLevel="2">
      <c r="A65" s="19"/>
      <c r="B65" s="20"/>
      <c r="C65" s="20"/>
      <c r="D65" s="20"/>
      <c r="E65" s="20"/>
      <c r="F65" s="20" t="s">
        <v>82</v>
      </c>
      <c r="G65" s="20"/>
      <c r="H65" s="20"/>
      <c r="I65" s="20"/>
      <c r="J65" s="20"/>
      <c r="K65" s="20"/>
      <c r="L65" s="20"/>
      <c r="M65" s="20"/>
      <c r="N65" s="21"/>
    </row>
    <row r="66" spans="1:14" ht="34.5" customHeight="1" outlineLevel="3">
      <c r="A66" s="22" t="s">
        <v>83</v>
      </c>
      <c r="B66" s="23" t="str">
        <f>HYPERLINK("http://www.sedek.ru/upload/iblock/12d/arbuz_gigant_sakharnyy.jpg","фото")</f>
        <v>фото</v>
      </c>
      <c r="C66" s="24"/>
      <c r="D66" s="24"/>
      <c r="E66" s="25"/>
      <c r="F66" s="25" t="s">
        <v>84</v>
      </c>
      <c r="G66" s="26">
        <v>1</v>
      </c>
      <c r="H66" s="25" t="s">
        <v>70</v>
      </c>
      <c r="I66" s="25" t="s">
        <v>71</v>
      </c>
      <c r="J66" s="27">
        <v>2000</v>
      </c>
      <c r="K66" s="28">
        <v>19.3</v>
      </c>
      <c r="L66" s="29"/>
      <c r="M66" s="29">
        <f>L66*K66</f>
        <v>0</v>
      </c>
      <c r="N66" s="30">
        <v>4690368034364</v>
      </c>
    </row>
    <row r="67" spans="1:14" ht="34.5" customHeight="1" outlineLevel="3">
      <c r="A67" s="32">
        <v>16536</v>
      </c>
      <c r="B67" s="23" t="str">
        <f>HYPERLINK("http://sedek.ru/upload/iblock/bd4/arbuz_delikatesnyy_f1.jpg","фото")</f>
        <v>фото</v>
      </c>
      <c r="C67" s="24"/>
      <c r="D67" s="24"/>
      <c r="E67" s="25"/>
      <c r="F67" s="25" t="s">
        <v>85</v>
      </c>
      <c r="G67" s="26">
        <v>1</v>
      </c>
      <c r="H67" s="25" t="s">
        <v>70</v>
      </c>
      <c r="I67" s="25" t="s">
        <v>71</v>
      </c>
      <c r="J67" s="27">
        <v>2000</v>
      </c>
      <c r="K67" s="28">
        <v>34.9</v>
      </c>
      <c r="L67" s="29"/>
      <c r="M67" s="29">
        <f>L67*K67</f>
        <v>0</v>
      </c>
      <c r="N67" s="30">
        <v>4690368010863</v>
      </c>
    </row>
    <row r="68" spans="1:14" ht="34.5" customHeight="1" outlineLevel="3">
      <c r="A68" s="46">
        <v>14833</v>
      </c>
      <c r="B68" s="47" t="str">
        <f>HYPERLINK("http://sedek.ru/upload/iblock/584/arbuz_irinka_f1.jpg","фото")</f>
        <v>фото</v>
      </c>
      <c r="C68" s="48"/>
      <c r="D68" s="48"/>
      <c r="E68" s="49"/>
      <c r="F68" s="49" t="s">
        <v>86</v>
      </c>
      <c r="G68" s="50">
        <v>0.5</v>
      </c>
      <c r="H68" s="49" t="s">
        <v>70</v>
      </c>
      <c r="I68" s="49" t="s">
        <v>71</v>
      </c>
      <c r="J68" s="51">
        <v>2500</v>
      </c>
      <c r="K68" s="52">
        <v>31.2</v>
      </c>
      <c r="L68" s="53"/>
      <c r="M68" s="53">
        <f>L68*K68</f>
        <v>0</v>
      </c>
      <c r="N68" s="30">
        <v>4690368023566</v>
      </c>
    </row>
    <row r="69" spans="1:14" ht="45.75" customHeight="1" outlineLevel="3">
      <c r="A69" s="32">
        <v>13594</v>
      </c>
      <c r="B69" s="23" t="str">
        <f>HYPERLINK("http://sedek.ru/upload/iblock/6ad/arbuz_sinchevskiy.jpg","фото")</f>
        <v>фото</v>
      </c>
      <c r="C69" s="24"/>
      <c r="D69" s="24"/>
      <c r="E69" s="25"/>
      <c r="F69" s="25" t="s">
        <v>87</v>
      </c>
      <c r="G69" s="26">
        <v>1</v>
      </c>
      <c r="H69" s="25" t="s">
        <v>70</v>
      </c>
      <c r="I69" s="25" t="s">
        <v>71</v>
      </c>
      <c r="J69" s="27">
        <v>2000</v>
      </c>
      <c r="K69" s="28">
        <v>16.1</v>
      </c>
      <c r="L69" s="29"/>
      <c r="M69" s="29">
        <f>L69*K69</f>
        <v>0</v>
      </c>
      <c r="N69" s="30">
        <v>4690368008709</v>
      </c>
    </row>
    <row r="70" spans="1:14" ht="45.75" customHeight="1" outlineLevel="3">
      <c r="A70" s="32">
        <v>14565</v>
      </c>
      <c r="B70" s="23" t="str">
        <f>HYPERLINK("http://sedek.ru/upload/iblock/f98/arbuz_chernyy_prevoskhodnyy_f1.jpg","фото")</f>
        <v>фото</v>
      </c>
      <c r="C70" s="24"/>
      <c r="D70" s="24"/>
      <c r="E70" s="25"/>
      <c r="F70" s="25" t="s">
        <v>88</v>
      </c>
      <c r="G70" s="26">
        <v>1</v>
      </c>
      <c r="H70" s="25" t="s">
        <v>70</v>
      </c>
      <c r="I70" s="25" t="s">
        <v>71</v>
      </c>
      <c r="J70" s="27">
        <v>2000</v>
      </c>
      <c r="K70" s="28">
        <v>36.2</v>
      </c>
      <c r="L70" s="29"/>
      <c r="M70" s="29">
        <f>L70*K70</f>
        <v>0</v>
      </c>
      <c r="N70" s="30">
        <v>4607116267059</v>
      </c>
    </row>
    <row r="71" spans="1:14" ht="34.5" customHeight="1" outlineLevel="3">
      <c r="A71" s="32">
        <v>14531</v>
      </c>
      <c r="B71" s="23" t="str">
        <f>HYPERLINK("http://sedek.ru/upload/iblock/0e8/arbuz_shuga_bebi.jpg","фото")</f>
        <v>фото</v>
      </c>
      <c r="C71" s="24"/>
      <c r="D71" s="24"/>
      <c r="E71" s="25"/>
      <c r="F71" s="25" t="s">
        <v>89</v>
      </c>
      <c r="G71" s="26">
        <v>1</v>
      </c>
      <c r="H71" s="25" t="s">
        <v>70</v>
      </c>
      <c r="I71" s="25" t="s">
        <v>71</v>
      </c>
      <c r="J71" s="27">
        <v>2000</v>
      </c>
      <c r="K71" s="28">
        <v>15.2</v>
      </c>
      <c r="L71" s="29"/>
      <c r="M71" s="29">
        <f>L71*K71</f>
        <v>0</v>
      </c>
      <c r="N71" s="30">
        <v>4607015181081</v>
      </c>
    </row>
    <row r="72" spans="1:14" ht="12" customHeight="1" outlineLevel="2">
      <c r="A72" s="19"/>
      <c r="B72" s="20"/>
      <c r="C72" s="20"/>
      <c r="D72" s="20"/>
      <c r="E72" s="20"/>
      <c r="F72" s="20" t="s">
        <v>90</v>
      </c>
      <c r="G72" s="20"/>
      <c r="H72" s="20"/>
      <c r="I72" s="20"/>
      <c r="J72" s="20"/>
      <c r="K72" s="20"/>
      <c r="L72" s="20"/>
      <c r="M72" s="20"/>
      <c r="N72" s="21"/>
    </row>
    <row r="73" spans="1:14" ht="34.5" customHeight="1" outlineLevel="3">
      <c r="A73" s="32">
        <v>14215</v>
      </c>
      <c r="B73" s="23" t="str">
        <f>HYPERLINK("http://sedek.ru/upload/iblock/eba/bazilik_gvozdichnyy.jpg","фото")</f>
        <v>фото</v>
      </c>
      <c r="C73" s="24"/>
      <c r="D73" s="24"/>
      <c r="E73" s="25"/>
      <c r="F73" s="25" t="s">
        <v>91</v>
      </c>
      <c r="G73" s="31">
        <v>0.1</v>
      </c>
      <c r="H73" s="25" t="s">
        <v>70</v>
      </c>
      <c r="I73" s="25" t="s">
        <v>71</v>
      </c>
      <c r="J73" s="27">
        <v>4000</v>
      </c>
      <c r="K73" s="28">
        <v>15.2</v>
      </c>
      <c r="L73" s="29"/>
      <c r="M73" s="29">
        <f>L73*K73</f>
        <v>0</v>
      </c>
      <c r="N73" s="30">
        <v>4690368015318</v>
      </c>
    </row>
    <row r="74" spans="1:14" ht="45.75" customHeight="1" outlineLevel="3">
      <c r="A74" s="32">
        <v>15212</v>
      </c>
      <c r="B74" s="23" t="str">
        <f>HYPERLINK("http://sedek.ru/upload/iblock/13a/bazilik_divnyy_denyek.jpg","фото")</f>
        <v>фото</v>
      </c>
      <c r="C74" s="24"/>
      <c r="D74" s="24"/>
      <c r="E74" s="25"/>
      <c r="F74" s="25" t="s">
        <v>92</v>
      </c>
      <c r="G74" s="31">
        <v>0.1</v>
      </c>
      <c r="H74" s="25" t="s">
        <v>70</v>
      </c>
      <c r="I74" s="25" t="s">
        <v>71</v>
      </c>
      <c r="J74" s="27">
        <v>4000</v>
      </c>
      <c r="K74" s="28">
        <v>17.8</v>
      </c>
      <c r="L74" s="29"/>
      <c r="M74" s="29">
        <f>L74*K74</f>
        <v>0</v>
      </c>
      <c r="N74" s="30">
        <v>4690368011051</v>
      </c>
    </row>
    <row r="75" spans="1:14" ht="34.5" customHeight="1" outlineLevel="3">
      <c r="A75" s="46">
        <v>16110</v>
      </c>
      <c r="B75" s="47" t="str">
        <f>HYPERLINK("http://sedek.ru/upload/iblock/4d6/bazilik_aromatnyy_fioletovyy.jpg","фото")</f>
        <v>фото</v>
      </c>
      <c r="C75" s="48"/>
      <c r="D75" s="48"/>
      <c r="E75" s="49"/>
      <c r="F75" s="49" t="s">
        <v>93</v>
      </c>
      <c r="G75" s="50">
        <v>0.2</v>
      </c>
      <c r="H75" s="49" t="s">
        <v>70</v>
      </c>
      <c r="I75" s="49" t="s">
        <v>71</v>
      </c>
      <c r="J75" s="51">
        <v>4000</v>
      </c>
      <c r="K75" s="52">
        <v>14.4</v>
      </c>
      <c r="L75" s="53"/>
      <c r="M75" s="53">
        <f>L75*K75</f>
        <v>0</v>
      </c>
      <c r="N75" s="30">
        <v>4607015188752</v>
      </c>
    </row>
    <row r="76" spans="1:14" ht="12" customHeight="1" outlineLevel="2">
      <c r="A76" s="19"/>
      <c r="B76" s="20"/>
      <c r="C76" s="20"/>
      <c r="D76" s="20"/>
      <c r="E76" s="20"/>
      <c r="F76" s="20" t="s">
        <v>94</v>
      </c>
      <c r="G76" s="20"/>
      <c r="H76" s="20"/>
      <c r="I76" s="20"/>
      <c r="J76" s="20"/>
      <c r="K76" s="20"/>
      <c r="L76" s="20"/>
      <c r="M76" s="20"/>
      <c r="N76" s="21"/>
    </row>
    <row r="77" spans="1:14" ht="23.25" customHeight="1" outlineLevel="3">
      <c r="A77" s="32">
        <v>13553</v>
      </c>
      <c r="B77" s="23" t="str">
        <f>HYPERLINK("http://sedek.ru/upload/iblock/e45/baklazhan_vkus_gribov.jpg","фото")</f>
        <v>фото</v>
      </c>
      <c r="C77" s="24"/>
      <c r="D77" s="24" t="s">
        <v>95</v>
      </c>
      <c r="E77" s="25"/>
      <c r="F77" s="25" t="s">
        <v>96</v>
      </c>
      <c r="G77" s="31">
        <v>0.2</v>
      </c>
      <c r="H77" s="25" t="s">
        <v>70</v>
      </c>
      <c r="I77" s="25" t="s">
        <v>71</v>
      </c>
      <c r="J77" s="27">
        <v>5000</v>
      </c>
      <c r="K77" s="28">
        <v>17.2</v>
      </c>
      <c r="L77" s="29"/>
      <c r="M77" s="29">
        <f>L77*K77</f>
        <v>0</v>
      </c>
      <c r="N77" s="30">
        <v>4607149404247</v>
      </c>
    </row>
    <row r="78" spans="1:14" ht="12" customHeight="1" outlineLevel="2">
      <c r="A78" s="19"/>
      <c r="B78" s="20"/>
      <c r="C78" s="20"/>
      <c r="D78" s="20"/>
      <c r="E78" s="20"/>
      <c r="F78" s="20" t="s">
        <v>97</v>
      </c>
      <c r="G78" s="20"/>
      <c r="H78" s="20"/>
      <c r="I78" s="20"/>
      <c r="J78" s="20"/>
      <c r="K78" s="20"/>
      <c r="L78" s="20"/>
      <c r="M78" s="20"/>
      <c r="N78" s="21"/>
    </row>
    <row r="79" spans="1:14" ht="23.25" customHeight="1" outlineLevel="3">
      <c r="A79" s="32">
        <v>14857</v>
      </c>
      <c r="B79" s="23" t="str">
        <f>HYPERLINK("http://sedek.ru/upload/iblock/54f/boby_belorusskie.jpg","фото")</f>
        <v>фото</v>
      </c>
      <c r="C79" s="24"/>
      <c r="D79" s="24"/>
      <c r="E79" s="25"/>
      <c r="F79" s="25" t="s">
        <v>98</v>
      </c>
      <c r="G79" s="26">
        <v>10</v>
      </c>
      <c r="H79" s="25" t="s">
        <v>70</v>
      </c>
      <c r="I79" s="25" t="s">
        <v>71</v>
      </c>
      <c r="J79" s="26">
        <v>500</v>
      </c>
      <c r="K79" s="28">
        <v>18</v>
      </c>
      <c r="L79" s="29"/>
      <c r="M79" s="29">
        <f>L79*K79</f>
        <v>0</v>
      </c>
      <c r="N79" s="30">
        <v>4690368007726</v>
      </c>
    </row>
    <row r="80" spans="1:14" ht="23.25" customHeight="1" outlineLevel="3">
      <c r="A80" s="32">
        <v>16350</v>
      </c>
      <c r="B80" s="23" t="str">
        <f>HYPERLINK("http://www.sedek.ru/upload/iblock/d3d/boby_russkie_chernye.jpg","фото")</f>
        <v>фото</v>
      </c>
      <c r="C80" s="24"/>
      <c r="D80" s="24"/>
      <c r="E80" s="25"/>
      <c r="F80" s="25" t="s">
        <v>99</v>
      </c>
      <c r="G80" s="26">
        <v>10</v>
      </c>
      <c r="H80" s="25" t="s">
        <v>70</v>
      </c>
      <c r="I80" s="25" t="s">
        <v>71</v>
      </c>
      <c r="J80" s="26">
        <v>500</v>
      </c>
      <c r="K80" s="28">
        <v>18</v>
      </c>
      <c r="L80" s="29"/>
      <c r="M80" s="29">
        <f>L80*K80</f>
        <v>0</v>
      </c>
      <c r="N80" s="30">
        <v>4690368007269</v>
      </c>
    </row>
    <row r="81" spans="1:14" ht="23.25" customHeight="1" outlineLevel="3">
      <c r="A81" s="32">
        <v>16375</v>
      </c>
      <c r="B81" s="23" t="str">
        <f>HYPERLINK("http://www.sedek.ru/upload/iblock/e94/boby_yankel_byaly.jpg","фото")</f>
        <v>фото</v>
      </c>
      <c r="C81" s="24"/>
      <c r="D81" s="24"/>
      <c r="E81" s="25"/>
      <c r="F81" s="25" t="s">
        <v>100</v>
      </c>
      <c r="G81" s="26">
        <v>10</v>
      </c>
      <c r="H81" s="25" t="s">
        <v>70</v>
      </c>
      <c r="I81" s="25" t="s">
        <v>71</v>
      </c>
      <c r="J81" s="26">
        <v>500</v>
      </c>
      <c r="K81" s="28">
        <v>18</v>
      </c>
      <c r="L81" s="29"/>
      <c r="M81" s="29">
        <f>L81*K81</f>
        <v>0</v>
      </c>
      <c r="N81" s="30">
        <v>4607149400713</v>
      </c>
    </row>
    <row r="82" spans="1:14" ht="12" customHeight="1" outlineLevel="2">
      <c r="A82" s="19"/>
      <c r="B82" s="20"/>
      <c r="C82" s="20"/>
      <c r="D82" s="20"/>
      <c r="E82" s="20"/>
      <c r="F82" s="20" t="s">
        <v>101</v>
      </c>
      <c r="G82" s="20"/>
      <c r="H82" s="20"/>
      <c r="I82" s="20"/>
      <c r="J82" s="20"/>
      <c r="K82" s="20"/>
      <c r="L82" s="20"/>
      <c r="M82" s="20"/>
      <c r="N82" s="21"/>
    </row>
    <row r="83" spans="1:14" ht="23.25" customHeight="1" outlineLevel="3">
      <c r="A83" s="32">
        <v>15829</v>
      </c>
      <c r="B83" s="23" t="str">
        <f>HYPERLINK("http://sedek.ru/upload/iblock/f51/bryukva_krasnoselskaya.jpg","фото")</f>
        <v>фото</v>
      </c>
      <c r="C83" s="24"/>
      <c r="D83" s="24"/>
      <c r="E83" s="25"/>
      <c r="F83" s="25" t="s">
        <v>102</v>
      </c>
      <c r="G83" s="31">
        <v>0.5</v>
      </c>
      <c r="H83" s="25" t="s">
        <v>70</v>
      </c>
      <c r="I83" s="25" t="s">
        <v>71</v>
      </c>
      <c r="J83" s="27">
        <v>2500</v>
      </c>
      <c r="K83" s="28">
        <v>13.9</v>
      </c>
      <c r="L83" s="29"/>
      <c r="M83" s="29">
        <f>L83*K83</f>
        <v>0</v>
      </c>
      <c r="N83" s="30">
        <v>4690368007467</v>
      </c>
    </row>
    <row r="84" spans="1:14" ht="12" customHeight="1" outlineLevel="2">
      <c r="A84" s="19"/>
      <c r="B84" s="20"/>
      <c r="C84" s="20"/>
      <c r="D84" s="20"/>
      <c r="E84" s="20"/>
      <c r="F84" s="20" t="s">
        <v>103</v>
      </c>
      <c r="G84" s="20"/>
      <c r="H84" s="20"/>
      <c r="I84" s="20"/>
      <c r="J84" s="20"/>
      <c r="K84" s="20"/>
      <c r="L84" s="20"/>
      <c r="M84" s="20"/>
      <c r="N84" s="21"/>
    </row>
    <row r="85" spans="1:14" ht="23.25" customHeight="1" outlineLevel="3">
      <c r="A85" s="46">
        <v>15367</v>
      </c>
      <c r="B85" s="47" t="str">
        <f>HYPERLINK("http://sedek.ru/upload/iblock/43a/gorokh_atlant.jpg","фото")</f>
        <v>фото</v>
      </c>
      <c r="C85" s="48"/>
      <c r="D85" s="48"/>
      <c r="E85" s="49"/>
      <c r="F85" s="49" t="s">
        <v>104</v>
      </c>
      <c r="G85" s="54">
        <v>5</v>
      </c>
      <c r="H85" s="49" t="s">
        <v>70</v>
      </c>
      <c r="I85" s="49" t="s">
        <v>71</v>
      </c>
      <c r="J85" s="54">
        <v>600</v>
      </c>
      <c r="K85" s="52">
        <v>15.3</v>
      </c>
      <c r="L85" s="53"/>
      <c r="M85" s="53">
        <f>L85*K85</f>
        <v>0</v>
      </c>
      <c r="N85" s="30">
        <v>4607149400522</v>
      </c>
    </row>
    <row r="86" spans="1:14" ht="23.25" customHeight="1" outlineLevel="3">
      <c r="A86" s="32">
        <v>15309</v>
      </c>
      <c r="B86" s="23" t="str">
        <f>HYPERLINK("http://sedek.ru/upload/iblock/8a4/gorokh_grezy.jpg","фото")</f>
        <v>фото</v>
      </c>
      <c r="C86" s="24"/>
      <c r="D86" s="24"/>
      <c r="E86" s="25"/>
      <c r="F86" s="25" t="s">
        <v>105</v>
      </c>
      <c r="G86" s="26">
        <v>5</v>
      </c>
      <c r="H86" s="25" t="s">
        <v>70</v>
      </c>
      <c r="I86" s="25" t="s">
        <v>71</v>
      </c>
      <c r="J86" s="26">
        <v>600</v>
      </c>
      <c r="K86" s="28">
        <v>16.1</v>
      </c>
      <c r="L86" s="29"/>
      <c r="M86" s="29">
        <f>L86*K86</f>
        <v>0</v>
      </c>
      <c r="N86" s="30">
        <v>4607015185966</v>
      </c>
    </row>
    <row r="87" spans="1:14" ht="23.25" customHeight="1" outlineLevel="3">
      <c r="A87" s="32">
        <v>15890</v>
      </c>
      <c r="B87" s="23" t="str">
        <f>HYPERLINK("http://sedek.ru/upload/iblock/6d0/gorokh_deliza.jpg","фото")</f>
        <v>фото</v>
      </c>
      <c r="C87" s="24"/>
      <c r="D87" s="24"/>
      <c r="E87" s="25"/>
      <c r="F87" s="25" t="s">
        <v>106</v>
      </c>
      <c r="G87" s="26">
        <v>8</v>
      </c>
      <c r="H87" s="25" t="s">
        <v>70</v>
      </c>
      <c r="I87" s="25" t="s">
        <v>71</v>
      </c>
      <c r="J87" s="26">
        <v>500</v>
      </c>
      <c r="K87" s="28">
        <v>16.1</v>
      </c>
      <c r="L87" s="29"/>
      <c r="M87" s="29">
        <f>L87*K87</f>
        <v>0</v>
      </c>
      <c r="N87" s="30">
        <v>4607015185973</v>
      </c>
    </row>
    <row r="88" spans="1:14" ht="23.25" customHeight="1" outlineLevel="3">
      <c r="A88" s="32">
        <v>14757</v>
      </c>
      <c r="B88" s="23" t="str">
        <f>HYPERLINK("http://sedek.ru/upload/iblock/fb7/gorokh_dinga.jpg","фото")</f>
        <v>фото</v>
      </c>
      <c r="C88" s="24"/>
      <c r="D88" s="24"/>
      <c r="E88" s="25"/>
      <c r="F88" s="25" t="s">
        <v>107</v>
      </c>
      <c r="G88" s="26">
        <v>5</v>
      </c>
      <c r="H88" s="25" t="s">
        <v>70</v>
      </c>
      <c r="I88" s="25" t="s">
        <v>71</v>
      </c>
      <c r="J88" s="26">
        <v>600</v>
      </c>
      <c r="K88" s="28">
        <v>16.1</v>
      </c>
      <c r="L88" s="29"/>
      <c r="M88" s="29">
        <f>L88*K88</f>
        <v>0</v>
      </c>
      <c r="N88" s="30">
        <v>4607015185980</v>
      </c>
    </row>
    <row r="89" spans="1:14" ht="23.25" customHeight="1" outlineLevel="3">
      <c r="A89" s="32">
        <v>13492</v>
      </c>
      <c r="B89" s="23" t="str">
        <f>HYPERLINK("http://sedek.ru/upload/iblock/534/gorokh_pioner.jpg","фото")</f>
        <v>фото</v>
      </c>
      <c r="C89" s="24"/>
      <c r="D89" s="24"/>
      <c r="E89" s="25"/>
      <c r="F89" s="25" t="s">
        <v>108</v>
      </c>
      <c r="G89" s="26">
        <v>8</v>
      </c>
      <c r="H89" s="25" t="s">
        <v>70</v>
      </c>
      <c r="I89" s="25" t="s">
        <v>71</v>
      </c>
      <c r="J89" s="26">
        <v>500</v>
      </c>
      <c r="K89" s="28">
        <v>16.1</v>
      </c>
      <c r="L89" s="29"/>
      <c r="M89" s="29">
        <f>L89*K89</f>
        <v>0</v>
      </c>
      <c r="N89" s="30">
        <v>4607149400539</v>
      </c>
    </row>
    <row r="90" spans="1:14" ht="23.25" customHeight="1" outlineLevel="3">
      <c r="A90" s="32">
        <v>16111</v>
      </c>
      <c r="B90" s="23" t="str">
        <f>HYPERLINK("http://sedek.ru/upload/iblock/35a/gorokh_premium.jpg","фото")</f>
        <v>фото</v>
      </c>
      <c r="C90" s="24"/>
      <c r="D90" s="24"/>
      <c r="E90" s="25"/>
      <c r="F90" s="25" t="s">
        <v>109</v>
      </c>
      <c r="G90" s="26">
        <v>8</v>
      </c>
      <c r="H90" s="25" t="s">
        <v>70</v>
      </c>
      <c r="I90" s="25" t="s">
        <v>71</v>
      </c>
      <c r="J90" s="26">
        <v>500</v>
      </c>
      <c r="K90" s="28">
        <v>15.2</v>
      </c>
      <c r="L90" s="29"/>
      <c r="M90" s="29">
        <f>L90*K90</f>
        <v>0</v>
      </c>
      <c r="N90" s="30">
        <v>4607149400515</v>
      </c>
    </row>
    <row r="91" spans="1:14" ht="23.25" customHeight="1" outlineLevel="3">
      <c r="A91" s="32">
        <v>14135</v>
      </c>
      <c r="B91" s="23" t="str">
        <f>HYPERLINK("http://sedek.ru/upload/iblock/637/gorokh_sakharnyy_struchok.jpg","фото")</f>
        <v>фото</v>
      </c>
      <c r="C91" s="24"/>
      <c r="D91" s="24"/>
      <c r="E91" s="25"/>
      <c r="F91" s="25" t="s">
        <v>110</v>
      </c>
      <c r="G91" s="26">
        <v>5</v>
      </c>
      <c r="H91" s="25" t="s">
        <v>70</v>
      </c>
      <c r="I91" s="25" t="s">
        <v>71</v>
      </c>
      <c r="J91" s="26">
        <v>600</v>
      </c>
      <c r="K91" s="28">
        <v>16.1</v>
      </c>
      <c r="L91" s="29"/>
      <c r="M91" s="29">
        <f>L91*K91</f>
        <v>0</v>
      </c>
      <c r="N91" s="30">
        <v>4690368007535</v>
      </c>
    </row>
    <row r="92" spans="1:14" ht="23.25" customHeight="1" outlineLevel="3">
      <c r="A92" s="46">
        <v>14081</v>
      </c>
      <c r="B92" s="47" t="str">
        <f>HYPERLINK("http://www.sedek.ru/upload/iblock/9df/gorokh_senator.jpg","фото")</f>
        <v>фото</v>
      </c>
      <c r="C92" s="48"/>
      <c r="D92" s="48"/>
      <c r="E92" s="49"/>
      <c r="F92" s="49" t="s">
        <v>111</v>
      </c>
      <c r="G92" s="54">
        <v>5</v>
      </c>
      <c r="H92" s="49" t="s">
        <v>70</v>
      </c>
      <c r="I92" s="49" t="s">
        <v>71</v>
      </c>
      <c r="J92" s="54">
        <v>600</v>
      </c>
      <c r="K92" s="52">
        <v>15.3</v>
      </c>
      <c r="L92" s="53"/>
      <c r="M92" s="53">
        <f>L92*K92</f>
        <v>0</v>
      </c>
      <c r="N92" s="30">
        <v>4607015186024</v>
      </c>
    </row>
    <row r="93" spans="1:14" ht="12" customHeight="1" outlineLevel="2">
      <c r="A93" s="19"/>
      <c r="B93" s="20"/>
      <c r="C93" s="20"/>
      <c r="D93" s="20"/>
      <c r="E93" s="20"/>
      <c r="F93" s="20" t="s">
        <v>112</v>
      </c>
      <c r="G93" s="20"/>
      <c r="H93" s="20"/>
      <c r="I93" s="20"/>
      <c r="J93" s="20"/>
      <c r="K93" s="20"/>
      <c r="L93" s="20"/>
      <c r="M93" s="20"/>
      <c r="N93" s="21"/>
    </row>
    <row r="94" spans="1:14" ht="23.25" customHeight="1" outlineLevel="3">
      <c r="A94" s="32">
        <v>15096</v>
      </c>
      <c r="B94" s="23" t="str">
        <f>HYPERLINK("http://sedek.ru/upload/iblock/cab/daykon_klyk_slona.jpg","фото")</f>
        <v>фото</v>
      </c>
      <c r="C94" s="24"/>
      <c r="D94" s="24"/>
      <c r="E94" s="25"/>
      <c r="F94" s="25" t="s">
        <v>113</v>
      </c>
      <c r="G94" s="26">
        <v>1</v>
      </c>
      <c r="H94" s="25" t="s">
        <v>70</v>
      </c>
      <c r="I94" s="25" t="s">
        <v>71</v>
      </c>
      <c r="J94" s="27">
        <v>2000</v>
      </c>
      <c r="K94" s="28">
        <v>16.1</v>
      </c>
      <c r="L94" s="29"/>
      <c r="M94" s="29">
        <f>L94*K94</f>
        <v>0</v>
      </c>
      <c r="N94" s="30">
        <v>4607149400744</v>
      </c>
    </row>
    <row r="95" spans="1:14" ht="12" customHeight="1" outlineLevel="2">
      <c r="A95" s="19"/>
      <c r="B95" s="20"/>
      <c r="C95" s="20"/>
      <c r="D95" s="20"/>
      <c r="E95" s="20"/>
      <c r="F95" s="20" t="s">
        <v>114</v>
      </c>
      <c r="G95" s="20"/>
      <c r="H95" s="20"/>
      <c r="I95" s="20"/>
      <c r="J95" s="20"/>
      <c r="K95" s="20"/>
      <c r="L95" s="20"/>
      <c r="M95" s="20"/>
      <c r="N95" s="21"/>
    </row>
    <row r="96" spans="1:14" ht="23.25" customHeight="1" outlineLevel="3">
      <c r="A96" s="46">
        <v>16419</v>
      </c>
      <c r="B96" s="47" t="str">
        <f>HYPERLINK("http://sedek.ru/upload/iblock/57d/dml2ljjp1ejxf1ulij7poy5gf4okibl1/dynya_ananasnaya.png","фото")</f>
        <v>фото</v>
      </c>
      <c r="C96" s="48"/>
      <c r="D96" s="48"/>
      <c r="E96" s="49"/>
      <c r="F96" s="49" t="s">
        <v>115</v>
      </c>
      <c r="G96" s="50">
        <v>0.5</v>
      </c>
      <c r="H96" s="49" t="s">
        <v>70</v>
      </c>
      <c r="I96" s="49" t="s">
        <v>71</v>
      </c>
      <c r="J96" s="51">
        <v>3000</v>
      </c>
      <c r="K96" s="52">
        <v>15.3</v>
      </c>
      <c r="L96" s="53"/>
      <c r="M96" s="53">
        <f>L96*K96</f>
        <v>0</v>
      </c>
      <c r="N96" s="30">
        <v>4607015186079</v>
      </c>
    </row>
    <row r="97" spans="1:14" ht="23.25" customHeight="1" outlineLevel="3">
      <c r="A97" s="32">
        <v>13632</v>
      </c>
      <c r="B97" s="23" t="str">
        <f>HYPERLINK("http://sedek.ru/upload/iblock/bcd/dynya_karamelnaya_f1.jpg","фото")</f>
        <v>фото</v>
      </c>
      <c r="C97" s="24"/>
      <c r="D97" s="24"/>
      <c r="E97" s="25"/>
      <c r="F97" s="25" t="s">
        <v>116</v>
      </c>
      <c r="G97" s="31">
        <v>0.5</v>
      </c>
      <c r="H97" s="25" t="s">
        <v>70</v>
      </c>
      <c r="I97" s="25" t="s">
        <v>71</v>
      </c>
      <c r="J97" s="27">
        <v>3000</v>
      </c>
      <c r="K97" s="28">
        <v>22.3</v>
      </c>
      <c r="L97" s="29"/>
      <c r="M97" s="29">
        <f>L97*K97</f>
        <v>0</v>
      </c>
      <c r="N97" s="30">
        <v>4690368022019</v>
      </c>
    </row>
    <row r="98" spans="1:14" ht="23.25" customHeight="1" outlineLevel="3">
      <c r="A98" s="32">
        <v>15915</v>
      </c>
      <c r="B98" s="23" t="str">
        <f>HYPERLINK("http://sedek.ru/upload/iblock/10b/dynya_printsessa_mariya_f1.jpg","фото")</f>
        <v>фото</v>
      </c>
      <c r="C98" s="24"/>
      <c r="D98" s="24"/>
      <c r="E98" s="25"/>
      <c r="F98" s="25" t="s">
        <v>117</v>
      </c>
      <c r="G98" s="31">
        <v>0.2</v>
      </c>
      <c r="H98" s="25" t="s">
        <v>70</v>
      </c>
      <c r="I98" s="25" t="s">
        <v>71</v>
      </c>
      <c r="J98" s="27">
        <v>3000</v>
      </c>
      <c r="K98" s="28">
        <v>36.5</v>
      </c>
      <c r="L98" s="29"/>
      <c r="M98" s="29">
        <f>L98*K98</f>
        <v>0</v>
      </c>
      <c r="N98" s="30">
        <v>4607116267165</v>
      </c>
    </row>
    <row r="99" spans="1:14" ht="34.5" customHeight="1" outlineLevel="3">
      <c r="A99" s="32">
        <v>14884</v>
      </c>
      <c r="B99" s="23" t="str">
        <f>HYPERLINK("http://sedek.ru/upload/iblock/65b/dynya_printsessa_svetlana_f1.jpg","фото")</f>
        <v>фото</v>
      </c>
      <c r="C99" s="24"/>
      <c r="D99" s="24"/>
      <c r="E99" s="25"/>
      <c r="F99" s="25" t="s">
        <v>118</v>
      </c>
      <c r="G99" s="31">
        <v>0.2</v>
      </c>
      <c r="H99" s="25" t="s">
        <v>70</v>
      </c>
      <c r="I99" s="25" t="s">
        <v>71</v>
      </c>
      <c r="J99" s="27">
        <v>3000</v>
      </c>
      <c r="K99" s="28">
        <v>36.9</v>
      </c>
      <c r="L99" s="29"/>
      <c r="M99" s="29">
        <f>L99*K99</f>
        <v>0</v>
      </c>
      <c r="N99" s="30">
        <v>4607116267172</v>
      </c>
    </row>
    <row r="100" spans="1:14" ht="12" customHeight="1" outlineLevel="2">
      <c r="A100" s="19"/>
      <c r="B100" s="20"/>
      <c r="C100" s="20"/>
      <c r="D100" s="20"/>
      <c r="E100" s="20"/>
      <c r="F100" s="20" t="s">
        <v>119</v>
      </c>
      <c r="G100" s="20"/>
      <c r="H100" s="20"/>
      <c r="I100" s="20"/>
      <c r="J100" s="20"/>
      <c r="K100" s="20"/>
      <c r="L100" s="20"/>
      <c r="M100" s="20"/>
      <c r="N100" s="21"/>
    </row>
    <row r="101" spans="1:14" ht="34.5" customHeight="1" outlineLevel="3">
      <c r="A101" s="32">
        <v>16038</v>
      </c>
      <c r="B101" s="23" t="str">
        <f>HYPERLINK("http://www.sedek.ru/upload/iblock/ce8/kabachok_golda_f1.jpg","фото")</f>
        <v>фото</v>
      </c>
      <c r="C101" s="24"/>
      <c r="D101" s="24" t="s">
        <v>95</v>
      </c>
      <c r="E101" s="25"/>
      <c r="F101" s="25" t="s">
        <v>120</v>
      </c>
      <c r="G101" s="26">
        <v>1</v>
      </c>
      <c r="H101" s="25" t="s">
        <v>70</v>
      </c>
      <c r="I101" s="25" t="s">
        <v>71</v>
      </c>
      <c r="J101" s="27">
        <v>2500</v>
      </c>
      <c r="K101" s="28">
        <v>54.1</v>
      </c>
      <c r="L101" s="29"/>
      <c r="M101" s="29">
        <f>L101*K101</f>
        <v>0</v>
      </c>
      <c r="N101" s="30">
        <v>4607015186291</v>
      </c>
    </row>
    <row r="102" spans="1:14" ht="23.25" customHeight="1" outlineLevel="3">
      <c r="A102" s="32">
        <v>14245</v>
      </c>
      <c r="B102" s="23" t="str">
        <f>HYPERLINK("http://sedek.ru/upload/iblock/73d/kabachok_zolotinka.jpg","фото")</f>
        <v>фото</v>
      </c>
      <c r="C102" s="24"/>
      <c r="D102" s="24"/>
      <c r="E102" s="25"/>
      <c r="F102" s="25" t="s">
        <v>121</v>
      </c>
      <c r="G102" s="26">
        <v>2</v>
      </c>
      <c r="H102" s="25" t="s">
        <v>70</v>
      </c>
      <c r="I102" s="25" t="s">
        <v>71</v>
      </c>
      <c r="J102" s="27">
        <v>2000</v>
      </c>
      <c r="K102" s="28">
        <v>16.9</v>
      </c>
      <c r="L102" s="29"/>
      <c r="M102" s="29">
        <f>L102*K102</f>
        <v>0</v>
      </c>
      <c r="N102" s="30">
        <v>4690368005722</v>
      </c>
    </row>
    <row r="103" spans="1:14" ht="34.5" customHeight="1" outlineLevel="3">
      <c r="A103" s="32">
        <v>14041</v>
      </c>
      <c r="B103" s="23" t="str">
        <f>HYPERLINK("http://sedek.ru/upload/iblock/c93/kabachok_spagetti.jpg","фото")</f>
        <v>фото</v>
      </c>
      <c r="C103" s="24"/>
      <c r="D103" s="24" t="s">
        <v>95</v>
      </c>
      <c r="E103" s="25"/>
      <c r="F103" s="25" t="s">
        <v>122</v>
      </c>
      <c r="G103" s="26">
        <v>1</v>
      </c>
      <c r="H103" s="25" t="s">
        <v>70</v>
      </c>
      <c r="I103" s="25" t="s">
        <v>71</v>
      </c>
      <c r="J103" s="27">
        <v>2500</v>
      </c>
      <c r="K103" s="28">
        <v>16.2</v>
      </c>
      <c r="L103" s="29"/>
      <c r="M103" s="29">
        <f>L103*K103</f>
        <v>0</v>
      </c>
      <c r="N103" s="30">
        <v>4690368014274</v>
      </c>
    </row>
    <row r="104" spans="1:14" ht="23.25" customHeight="1" outlineLevel="3">
      <c r="A104" s="32">
        <v>16778</v>
      </c>
      <c r="B104" s="23" t="str">
        <f>HYPERLINK("http://sedek.ru/upload/iblock/8fe/kabachok_udacha.jpg","фото")</f>
        <v>фото</v>
      </c>
      <c r="C104" s="24"/>
      <c r="D104" s="24"/>
      <c r="E104" s="25"/>
      <c r="F104" s="25" t="s">
        <v>123</v>
      </c>
      <c r="G104" s="26">
        <v>2</v>
      </c>
      <c r="H104" s="25" t="s">
        <v>70</v>
      </c>
      <c r="I104" s="25" t="s">
        <v>71</v>
      </c>
      <c r="J104" s="27">
        <v>2000</v>
      </c>
      <c r="K104" s="28">
        <v>19.3</v>
      </c>
      <c r="L104" s="29"/>
      <c r="M104" s="29">
        <f>L104*K104</f>
        <v>0</v>
      </c>
      <c r="N104" s="30">
        <v>4690368023931</v>
      </c>
    </row>
    <row r="105" spans="1:14" ht="12" customHeight="1" outlineLevel="2">
      <c r="A105" s="19"/>
      <c r="B105" s="20"/>
      <c r="C105" s="20"/>
      <c r="D105" s="20"/>
      <c r="E105" s="20"/>
      <c r="F105" s="20" t="s">
        <v>124</v>
      </c>
      <c r="G105" s="20"/>
      <c r="H105" s="20"/>
      <c r="I105" s="20"/>
      <c r="J105" s="20"/>
      <c r="K105" s="20"/>
      <c r="L105" s="20"/>
      <c r="M105" s="20"/>
      <c r="N105" s="21"/>
    </row>
    <row r="106" spans="1:14" ht="23.25" customHeight="1" outlineLevel="3">
      <c r="A106" s="22" t="s">
        <v>125</v>
      </c>
      <c r="B106" s="23" t="str">
        <f>HYPERLINK("http://sedek.ru/upload/iblock/076/kapusta_sakharnyy_shar_f1.jpg","фото")</f>
        <v>фото</v>
      </c>
      <c r="C106" s="24"/>
      <c r="D106" s="24" t="s">
        <v>95</v>
      </c>
      <c r="E106" s="25"/>
      <c r="F106" s="25" t="s">
        <v>126</v>
      </c>
      <c r="G106" s="33">
        <v>0.05</v>
      </c>
      <c r="H106" s="25" t="s">
        <v>70</v>
      </c>
      <c r="I106" s="25" t="s">
        <v>71</v>
      </c>
      <c r="J106" s="27">
        <v>2000</v>
      </c>
      <c r="K106" s="28">
        <v>26.3</v>
      </c>
      <c r="L106" s="29"/>
      <c r="M106" s="29">
        <f>L106*K106</f>
        <v>0</v>
      </c>
      <c r="N106" s="30">
        <v>4690368026109</v>
      </c>
    </row>
    <row r="107" spans="1:14" ht="12" customHeight="1" outlineLevel="2">
      <c r="A107" s="19"/>
      <c r="B107" s="20"/>
      <c r="C107" s="20"/>
      <c r="D107" s="20"/>
      <c r="E107" s="20"/>
      <c r="F107" s="20" t="s">
        <v>127</v>
      </c>
      <c r="G107" s="20"/>
      <c r="H107" s="20"/>
      <c r="I107" s="20"/>
      <c r="J107" s="20"/>
      <c r="K107" s="20"/>
      <c r="L107" s="20"/>
      <c r="M107" s="20"/>
      <c r="N107" s="21"/>
    </row>
    <row r="108" spans="1:14" ht="34.5" customHeight="1" outlineLevel="3">
      <c r="A108" s="22" t="s">
        <v>128</v>
      </c>
      <c r="B108" s="23" t="str">
        <f>HYPERLINK("http://www.sedek.ru/upload/iblock/33a/kivano_dikobraz_afrikanskiy_ogurets.jpg","фото")</f>
        <v>фото</v>
      </c>
      <c r="C108" s="24"/>
      <c r="D108" s="24"/>
      <c r="E108" s="25"/>
      <c r="F108" s="25" t="s">
        <v>129</v>
      </c>
      <c r="G108" s="26">
        <v>3</v>
      </c>
      <c r="H108" s="25" t="s">
        <v>130</v>
      </c>
      <c r="I108" s="25" t="s">
        <v>71</v>
      </c>
      <c r="J108" s="27">
        <v>2000</v>
      </c>
      <c r="K108" s="28">
        <v>38.6</v>
      </c>
      <c r="L108" s="29"/>
      <c r="M108" s="29">
        <f>L108*K108</f>
        <v>0</v>
      </c>
      <c r="N108" s="30">
        <v>4690368037334</v>
      </c>
    </row>
    <row r="109" spans="1:14" ht="12" customHeight="1" outlineLevel="2">
      <c r="A109" s="19"/>
      <c r="B109" s="20"/>
      <c r="C109" s="20"/>
      <c r="D109" s="20"/>
      <c r="E109" s="20"/>
      <c r="F109" s="20" t="s">
        <v>131</v>
      </c>
      <c r="G109" s="20"/>
      <c r="H109" s="20"/>
      <c r="I109" s="20"/>
      <c r="J109" s="20"/>
      <c r="K109" s="20"/>
      <c r="L109" s="20"/>
      <c r="M109" s="20"/>
      <c r="N109" s="21"/>
    </row>
    <row r="110" spans="1:14" ht="23.25" customHeight="1" outlineLevel="3">
      <c r="A110" s="32">
        <v>15109</v>
      </c>
      <c r="B110" s="23" t="str">
        <f>HYPERLINK("http://sedek.ru/upload/iblock/07d/kukuruza_simpatiya.jpg","фото")</f>
        <v>фото</v>
      </c>
      <c r="C110" s="24"/>
      <c r="D110" s="24"/>
      <c r="E110" s="25"/>
      <c r="F110" s="25" t="s">
        <v>132</v>
      </c>
      <c r="G110" s="26">
        <v>4</v>
      </c>
      <c r="H110" s="25" t="s">
        <v>70</v>
      </c>
      <c r="I110" s="25" t="s">
        <v>71</v>
      </c>
      <c r="J110" s="27">
        <v>1000</v>
      </c>
      <c r="K110" s="28">
        <v>17.5</v>
      </c>
      <c r="L110" s="29"/>
      <c r="M110" s="29">
        <f>L110*K110</f>
        <v>0</v>
      </c>
      <c r="N110" s="30">
        <v>4690368008792</v>
      </c>
    </row>
    <row r="111" spans="1:14" ht="34.5" customHeight="1" outlineLevel="3">
      <c r="A111" s="32">
        <v>15363</v>
      </c>
      <c r="B111" s="23" t="str">
        <f>HYPERLINK("http://sedek.ru/upload/iblock/69e/kukuruza_utrennyaya_pesnya_f1.JPG","фото")</f>
        <v>фото</v>
      </c>
      <c r="C111" s="24"/>
      <c r="D111" s="24"/>
      <c r="E111" s="25"/>
      <c r="F111" s="25" t="s">
        <v>133</v>
      </c>
      <c r="G111" s="26">
        <v>4</v>
      </c>
      <c r="H111" s="25" t="s">
        <v>70</v>
      </c>
      <c r="I111" s="25" t="s">
        <v>71</v>
      </c>
      <c r="J111" s="27">
        <v>1000</v>
      </c>
      <c r="K111" s="28">
        <v>17.5</v>
      </c>
      <c r="L111" s="29"/>
      <c r="M111" s="29">
        <f>L111*K111</f>
        <v>0</v>
      </c>
      <c r="N111" s="30">
        <v>4607149408993</v>
      </c>
    </row>
    <row r="112" spans="1:14" ht="34.5" customHeight="1" outlineLevel="3">
      <c r="A112" s="32">
        <v>16187</v>
      </c>
      <c r="B112" s="23" t="str">
        <f>HYPERLINK("http://sedek.ru/upload/iblock/252/kukuruza_favorit_f1.jpg","фото")</f>
        <v>фото</v>
      </c>
      <c r="C112" s="24"/>
      <c r="D112" s="24"/>
      <c r="E112" s="25"/>
      <c r="F112" s="25" t="s">
        <v>134</v>
      </c>
      <c r="G112" s="26">
        <v>4</v>
      </c>
      <c r="H112" s="25" t="s">
        <v>70</v>
      </c>
      <c r="I112" s="25" t="s">
        <v>71</v>
      </c>
      <c r="J112" s="27">
        <v>1000</v>
      </c>
      <c r="K112" s="28">
        <v>17.5</v>
      </c>
      <c r="L112" s="29"/>
      <c r="M112" s="29">
        <f>L112*K112</f>
        <v>0</v>
      </c>
      <c r="N112" s="30">
        <v>4607149409006</v>
      </c>
    </row>
    <row r="113" spans="1:14" ht="12" customHeight="1" outlineLevel="2">
      <c r="A113" s="19"/>
      <c r="B113" s="20"/>
      <c r="C113" s="20"/>
      <c r="D113" s="20"/>
      <c r="E113" s="20"/>
      <c r="F113" s="20" t="s">
        <v>135</v>
      </c>
      <c r="G113" s="20"/>
      <c r="H113" s="20"/>
      <c r="I113" s="20"/>
      <c r="J113" s="20"/>
      <c r="K113" s="20"/>
      <c r="L113" s="20"/>
      <c r="M113" s="20"/>
      <c r="N113" s="21"/>
    </row>
    <row r="114" spans="1:14" ht="45.75" customHeight="1" outlineLevel="3">
      <c r="A114" s="32">
        <v>14475</v>
      </c>
      <c r="B114" s="23" t="str">
        <f>HYPERLINK("http://sedek.ru/upload/iblock/2fe/podorozhnik_bolshoy_pokhodnyy_doktor.jpg","фото")</f>
        <v>фото</v>
      </c>
      <c r="C114" s="24"/>
      <c r="D114" s="24"/>
      <c r="E114" s="25"/>
      <c r="F114" s="25" t="s">
        <v>136</v>
      </c>
      <c r="G114" s="31">
        <v>0.2</v>
      </c>
      <c r="H114" s="25" t="s">
        <v>70</v>
      </c>
      <c r="I114" s="25" t="s">
        <v>71</v>
      </c>
      <c r="J114" s="27">
        <v>4000</v>
      </c>
      <c r="K114" s="28">
        <v>15.2</v>
      </c>
      <c r="L114" s="29"/>
      <c r="M114" s="29">
        <f>L114*K114</f>
        <v>0</v>
      </c>
      <c r="N114" s="30">
        <v>4690368006118</v>
      </c>
    </row>
    <row r="115" spans="1:14" ht="12" customHeight="1" outlineLevel="2">
      <c r="A115" s="19"/>
      <c r="B115" s="20"/>
      <c r="C115" s="20"/>
      <c r="D115" s="20"/>
      <c r="E115" s="20"/>
      <c r="F115" s="20" t="s">
        <v>137</v>
      </c>
      <c r="G115" s="20"/>
      <c r="H115" s="20"/>
      <c r="I115" s="20"/>
      <c r="J115" s="20"/>
      <c r="K115" s="20"/>
      <c r="L115" s="20"/>
      <c r="M115" s="20"/>
      <c r="N115" s="21"/>
    </row>
    <row r="116" spans="1:14" ht="34.5" customHeight="1" outlineLevel="3">
      <c r="A116" s="32">
        <v>16827</v>
      </c>
      <c r="B116" s="23" t="str">
        <f>HYPERLINK("http://www.sedek.ru/upload/iblock/cfb/morkov_malika.jpg","фото")</f>
        <v>фото</v>
      </c>
      <c r="C116" s="24"/>
      <c r="D116" s="24"/>
      <c r="E116" s="25"/>
      <c r="F116" s="25" t="s">
        <v>138</v>
      </c>
      <c r="G116" s="26">
        <v>200</v>
      </c>
      <c r="H116" s="25" t="s">
        <v>130</v>
      </c>
      <c r="I116" s="25" t="s">
        <v>71</v>
      </c>
      <c r="J116" s="27">
        <v>2000</v>
      </c>
      <c r="K116" s="28">
        <v>20.6</v>
      </c>
      <c r="L116" s="29"/>
      <c r="M116" s="29">
        <f>L116*K116</f>
        <v>0</v>
      </c>
      <c r="N116" s="30">
        <v>4690368021180</v>
      </c>
    </row>
    <row r="117" spans="1:14" ht="12" customHeight="1" outlineLevel="2">
      <c r="A117" s="19"/>
      <c r="B117" s="20"/>
      <c r="C117" s="20"/>
      <c r="D117" s="20"/>
      <c r="E117" s="20"/>
      <c r="F117" s="20" t="s">
        <v>139</v>
      </c>
      <c r="G117" s="20"/>
      <c r="H117" s="20"/>
      <c r="I117" s="20"/>
      <c r="J117" s="20"/>
      <c r="K117" s="20"/>
      <c r="L117" s="20"/>
      <c r="M117" s="20"/>
      <c r="N117" s="21"/>
    </row>
    <row r="118" spans="1:14" ht="23.25" customHeight="1" outlineLevel="3">
      <c r="A118" s="32">
        <v>13567</v>
      </c>
      <c r="B118" s="23" t="str">
        <f>HYPERLINK("http://sedek.ru/upload/iblock/39e/ogurets_alekseich_f1.jpg","фото")</f>
        <v>фото</v>
      </c>
      <c r="C118" s="24"/>
      <c r="D118" s="24"/>
      <c r="E118" s="25"/>
      <c r="F118" s="25" t="s">
        <v>140</v>
      </c>
      <c r="G118" s="31">
        <v>0.2</v>
      </c>
      <c r="H118" s="25" t="s">
        <v>70</v>
      </c>
      <c r="I118" s="25" t="s">
        <v>71</v>
      </c>
      <c r="J118" s="27">
        <v>4000</v>
      </c>
      <c r="K118" s="28">
        <v>37.8</v>
      </c>
      <c r="L118" s="29"/>
      <c r="M118" s="29">
        <f>L118*K118</f>
        <v>0</v>
      </c>
      <c r="N118" s="30">
        <v>4690368010122</v>
      </c>
    </row>
    <row r="119" spans="1:14" ht="23.25" customHeight="1" outlineLevel="3">
      <c r="A119" s="32">
        <v>15570</v>
      </c>
      <c r="B119" s="23" t="str">
        <f>HYPERLINK("http://sedek.ru/upload/iblock/780/ogurets_aprelskiy_f1.jpg","фото")</f>
        <v>фото</v>
      </c>
      <c r="C119" s="24"/>
      <c r="D119" s="24"/>
      <c r="E119" s="25"/>
      <c r="F119" s="25" t="s">
        <v>141</v>
      </c>
      <c r="G119" s="31">
        <v>0.2</v>
      </c>
      <c r="H119" s="25" t="s">
        <v>70</v>
      </c>
      <c r="I119" s="25" t="s">
        <v>71</v>
      </c>
      <c r="J119" s="27">
        <v>4000</v>
      </c>
      <c r="K119" s="28">
        <v>20.6</v>
      </c>
      <c r="L119" s="29"/>
      <c r="M119" s="29">
        <f>L119*K119</f>
        <v>0</v>
      </c>
      <c r="N119" s="30">
        <v>4607015181944</v>
      </c>
    </row>
    <row r="120" spans="1:14" ht="34.5" customHeight="1" outlineLevel="3">
      <c r="A120" s="22" t="s">
        <v>142</v>
      </c>
      <c r="B120" s="23" t="str">
        <f>HYPERLINK("http://www.sedek.ru/upload/iblock/a90/ogurets_belaya_gvardiya_f1.jpg","фото")</f>
        <v>фото</v>
      </c>
      <c r="C120" s="24"/>
      <c r="D120" s="24" t="s">
        <v>95</v>
      </c>
      <c r="E120" s="25"/>
      <c r="F120" s="25" t="s">
        <v>143</v>
      </c>
      <c r="G120" s="31">
        <v>0.2</v>
      </c>
      <c r="H120" s="25" t="s">
        <v>70</v>
      </c>
      <c r="I120" s="25" t="s">
        <v>71</v>
      </c>
      <c r="J120" s="27">
        <v>4000</v>
      </c>
      <c r="K120" s="28">
        <v>24.5</v>
      </c>
      <c r="L120" s="29"/>
      <c r="M120" s="29">
        <f>L120*K120</f>
        <v>0</v>
      </c>
      <c r="N120" s="30">
        <v>4690368031424</v>
      </c>
    </row>
    <row r="121" spans="1:14" ht="34.5" customHeight="1" outlineLevel="3">
      <c r="A121" s="32">
        <v>16328</v>
      </c>
      <c r="B121" s="23" t="str">
        <f>HYPERLINK("http://sedek.ru/upload/iblock/b5e/ogurets_german_f1.jpg","фото")</f>
        <v>фото</v>
      </c>
      <c r="C121" s="24"/>
      <c r="D121" s="24"/>
      <c r="E121" s="25" t="s">
        <v>144</v>
      </c>
      <c r="F121" s="25" t="s">
        <v>145</v>
      </c>
      <c r="G121" s="33">
        <v>0.15</v>
      </c>
      <c r="H121" s="25" t="s">
        <v>70</v>
      </c>
      <c r="I121" s="25" t="s">
        <v>71</v>
      </c>
      <c r="J121" s="27">
        <v>4000</v>
      </c>
      <c r="K121" s="28">
        <v>63</v>
      </c>
      <c r="L121" s="29"/>
      <c r="M121" s="29">
        <f>L121*K121</f>
        <v>0</v>
      </c>
      <c r="N121" s="30">
        <v>4607149400553</v>
      </c>
    </row>
    <row r="122" spans="1:14" ht="34.5" customHeight="1" outlineLevel="3">
      <c r="A122" s="32">
        <v>15171</v>
      </c>
      <c r="B122" s="23" t="str">
        <f>HYPERLINK("http://sedek.ru/upload/iblock/3f8/ogurets_denek_f1.JPG","фото")</f>
        <v>фото</v>
      </c>
      <c r="C122" s="24"/>
      <c r="D122" s="24"/>
      <c r="E122" s="25" t="s">
        <v>144</v>
      </c>
      <c r="F122" s="25" t="s">
        <v>146</v>
      </c>
      <c r="G122" s="31">
        <v>0.3</v>
      </c>
      <c r="H122" s="25" t="s">
        <v>70</v>
      </c>
      <c r="I122" s="25" t="s">
        <v>71</v>
      </c>
      <c r="J122" s="27">
        <v>3000</v>
      </c>
      <c r="K122" s="28">
        <v>18.9</v>
      </c>
      <c r="L122" s="29"/>
      <c r="M122" s="29">
        <f>L122*K122</f>
        <v>0</v>
      </c>
      <c r="N122" s="30">
        <v>4607015182385</v>
      </c>
    </row>
    <row r="123" spans="1:14" ht="34.5" customHeight="1" outlineLevel="3">
      <c r="A123" s="32">
        <v>16246</v>
      </c>
      <c r="B123" s="23" t="str">
        <f>HYPERLINK("http://sedek.ru/upload/iblock/26b/ogurets_dobryy_molodets_f1.jpg","фото")</f>
        <v>фото</v>
      </c>
      <c r="C123" s="24"/>
      <c r="D123" s="24"/>
      <c r="E123" s="25"/>
      <c r="F123" s="25" t="s">
        <v>147</v>
      </c>
      <c r="G123" s="31">
        <v>0.2</v>
      </c>
      <c r="H123" s="25" t="s">
        <v>70</v>
      </c>
      <c r="I123" s="25" t="s">
        <v>71</v>
      </c>
      <c r="J123" s="27">
        <v>4000</v>
      </c>
      <c r="K123" s="28">
        <v>42.9</v>
      </c>
      <c r="L123" s="29"/>
      <c r="M123" s="29">
        <f>L123*K123</f>
        <v>0</v>
      </c>
      <c r="N123" s="30">
        <v>4690368014489</v>
      </c>
    </row>
    <row r="124" spans="1:14" ht="34.5" customHeight="1" outlineLevel="3">
      <c r="A124" s="32">
        <v>14162</v>
      </c>
      <c r="B124" s="23" t="str">
        <f>HYPERLINK("http://sedek.ru/upload/iblock/12f/ogurets_donskoy_passazh_f1.jpg","фото")</f>
        <v>фото</v>
      </c>
      <c r="C124" s="24"/>
      <c r="D124" s="24"/>
      <c r="E124" s="25"/>
      <c r="F124" s="25" t="s">
        <v>148</v>
      </c>
      <c r="G124" s="31">
        <v>0.2</v>
      </c>
      <c r="H124" s="25" t="s">
        <v>70</v>
      </c>
      <c r="I124" s="25" t="s">
        <v>71</v>
      </c>
      <c r="J124" s="27">
        <v>4000</v>
      </c>
      <c r="K124" s="28">
        <v>24.9</v>
      </c>
      <c r="L124" s="29"/>
      <c r="M124" s="29">
        <f>L124*K124</f>
        <v>0</v>
      </c>
      <c r="N124" s="30">
        <v>4690368016957</v>
      </c>
    </row>
    <row r="125" spans="1:14" ht="34.5" customHeight="1" outlineLevel="3">
      <c r="A125" s="32">
        <v>13957</v>
      </c>
      <c r="B125" s="23" t="str">
        <f>HYPERLINK("http://sedek.ru/upload/iblock/1cc/ogurets_druzhok_f1.jpg","фото")</f>
        <v>фото</v>
      </c>
      <c r="C125" s="24"/>
      <c r="D125" s="24"/>
      <c r="E125" s="25"/>
      <c r="F125" s="25" t="s">
        <v>149</v>
      </c>
      <c r="G125" s="31">
        <v>0.3</v>
      </c>
      <c r="H125" s="25" t="s">
        <v>70</v>
      </c>
      <c r="I125" s="25" t="s">
        <v>71</v>
      </c>
      <c r="J125" s="27">
        <v>3000</v>
      </c>
      <c r="K125" s="28">
        <v>20.6</v>
      </c>
      <c r="L125" s="29"/>
      <c r="M125" s="29">
        <f>L125*K125</f>
        <v>0</v>
      </c>
      <c r="N125" s="30">
        <v>4690368012850</v>
      </c>
    </row>
    <row r="126" spans="1:14" ht="23.25" customHeight="1" outlineLevel="3">
      <c r="A126" s="32">
        <v>14294</v>
      </c>
      <c r="B126" s="23" t="str">
        <f>HYPERLINK("http://www.sedek.ru/upload/iblock/d19/ogurets_edinstvo.jpg","фото")</f>
        <v>фото</v>
      </c>
      <c r="C126" s="24"/>
      <c r="D126" s="24"/>
      <c r="E126" s="25"/>
      <c r="F126" s="25" t="s">
        <v>150</v>
      </c>
      <c r="G126" s="31">
        <v>0.5</v>
      </c>
      <c r="H126" s="25" t="s">
        <v>70</v>
      </c>
      <c r="I126" s="25" t="s">
        <v>71</v>
      </c>
      <c r="J126" s="27">
        <v>3000</v>
      </c>
      <c r="K126" s="28">
        <v>14.5</v>
      </c>
      <c r="L126" s="29"/>
      <c r="M126" s="29">
        <f>L126*K126</f>
        <v>0</v>
      </c>
      <c r="N126" s="30">
        <v>4607015182460</v>
      </c>
    </row>
    <row r="127" spans="1:14" ht="34.5" customHeight="1" outlineLevel="3">
      <c r="A127" s="22" t="s">
        <v>151</v>
      </c>
      <c r="B127" s="23" t="str">
        <f>HYPERLINK("http://sedek.ru/upload/iblock/84a/ogurets_zabava_f1.jpg","фото")</f>
        <v>фото</v>
      </c>
      <c r="C127" s="24"/>
      <c r="D127" s="24"/>
      <c r="E127" s="25"/>
      <c r="F127" s="25" t="s">
        <v>152</v>
      </c>
      <c r="G127" s="31">
        <v>0.2</v>
      </c>
      <c r="H127" s="25" t="s">
        <v>70</v>
      </c>
      <c r="I127" s="25" t="s">
        <v>71</v>
      </c>
      <c r="J127" s="27">
        <v>4000</v>
      </c>
      <c r="K127" s="28">
        <v>22</v>
      </c>
      <c r="L127" s="29"/>
      <c r="M127" s="29">
        <f>L127*K127</f>
        <v>0</v>
      </c>
      <c r="N127" s="30">
        <v>4690368026536</v>
      </c>
    </row>
    <row r="128" spans="1:14" ht="34.5" customHeight="1" outlineLevel="3">
      <c r="A128" s="32">
        <v>16247</v>
      </c>
      <c r="B128" s="23" t="str">
        <f>HYPERLINK("http://www.sedek.ru/upload/iblock/953/ogurets_karlik_f1.jpg","фото")</f>
        <v>фото</v>
      </c>
      <c r="C128" s="24"/>
      <c r="D128" s="24"/>
      <c r="E128" s="25"/>
      <c r="F128" s="25" t="s">
        <v>153</v>
      </c>
      <c r="G128" s="31">
        <v>0.2</v>
      </c>
      <c r="H128" s="25" t="s">
        <v>70</v>
      </c>
      <c r="I128" s="25" t="s">
        <v>71</v>
      </c>
      <c r="J128" s="27">
        <v>4000</v>
      </c>
      <c r="K128" s="28">
        <v>46.9</v>
      </c>
      <c r="L128" s="29"/>
      <c r="M128" s="29">
        <f>L128*K128</f>
        <v>0</v>
      </c>
      <c r="N128" s="30">
        <v>4690368014496</v>
      </c>
    </row>
    <row r="129" spans="1:14" ht="34.5" customHeight="1" outlineLevel="3">
      <c r="A129" s="32">
        <v>16568</v>
      </c>
      <c r="B129" s="23" t="str">
        <f>HYPERLINK("http://sedek.ru/upload/iblock/b0d/ogurets_kvartet_f1.jpg","фото")</f>
        <v>фото</v>
      </c>
      <c r="C129" s="24"/>
      <c r="D129" s="24"/>
      <c r="E129" s="25"/>
      <c r="F129" s="25" t="s">
        <v>154</v>
      </c>
      <c r="G129" s="31">
        <v>0.2</v>
      </c>
      <c r="H129" s="25" t="s">
        <v>70</v>
      </c>
      <c r="I129" s="25" t="s">
        <v>71</v>
      </c>
      <c r="J129" s="27">
        <v>4000</v>
      </c>
      <c r="K129" s="28">
        <v>42.8</v>
      </c>
      <c r="L129" s="29"/>
      <c r="M129" s="29">
        <f>L129*K129</f>
        <v>0</v>
      </c>
      <c r="N129" s="30">
        <v>4607015182644</v>
      </c>
    </row>
    <row r="130" spans="1:14" ht="34.5" customHeight="1" outlineLevel="3">
      <c r="A130" s="32">
        <v>13480</v>
      </c>
      <c r="B130" s="23" t="str">
        <f>HYPERLINK("http://sedek.ru/upload/iblock/97d/ogurets_konkurent.jpg","фото")</f>
        <v>фото</v>
      </c>
      <c r="C130" s="24"/>
      <c r="D130" s="24"/>
      <c r="E130" s="25"/>
      <c r="F130" s="25" t="s">
        <v>155</v>
      </c>
      <c r="G130" s="31">
        <v>0.5</v>
      </c>
      <c r="H130" s="25" t="s">
        <v>70</v>
      </c>
      <c r="I130" s="25" t="s">
        <v>71</v>
      </c>
      <c r="J130" s="27">
        <v>3000</v>
      </c>
      <c r="K130" s="28">
        <v>13.9</v>
      </c>
      <c r="L130" s="29"/>
      <c r="M130" s="29">
        <f>L130*K130</f>
        <v>0</v>
      </c>
      <c r="N130" s="30">
        <v>4607015182767</v>
      </c>
    </row>
    <row r="131" spans="1:14" ht="34.5" customHeight="1" outlineLevel="3">
      <c r="A131" s="32">
        <v>16961</v>
      </c>
      <c r="B131" s="23" t="str">
        <f>HYPERLINK("http://sedek.ru/upload/iblock/597/ogurets_korolevskie_palchiki_f1.jpg","фото")</f>
        <v>фото</v>
      </c>
      <c r="C131" s="24"/>
      <c r="D131" s="24"/>
      <c r="E131" s="25"/>
      <c r="F131" s="25" t="s">
        <v>156</v>
      </c>
      <c r="G131" s="31">
        <v>0.2</v>
      </c>
      <c r="H131" s="25" t="s">
        <v>70</v>
      </c>
      <c r="I131" s="25" t="s">
        <v>71</v>
      </c>
      <c r="J131" s="27">
        <v>4000</v>
      </c>
      <c r="K131" s="28">
        <v>30.8</v>
      </c>
      <c r="L131" s="29"/>
      <c r="M131" s="29">
        <f>L131*K131</f>
        <v>0</v>
      </c>
      <c r="N131" s="30">
        <v>4690368025386</v>
      </c>
    </row>
    <row r="132" spans="1:14" ht="34.5" customHeight="1" outlineLevel="3">
      <c r="A132" s="32">
        <v>16168</v>
      </c>
      <c r="B132" s="23" t="str">
        <f>HYPERLINK("http://sedek.ru/upload/iblock/187/ogurets_kristina_f1.jpg","фото")</f>
        <v>фото</v>
      </c>
      <c r="C132" s="24"/>
      <c r="D132" s="24"/>
      <c r="E132" s="25"/>
      <c r="F132" s="25" t="s">
        <v>157</v>
      </c>
      <c r="G132" s="31">
        <v>0.2</v>
      </c>
      <c r="H132" s="25" t="s">
        <v>70</v>
      </c>
      <c r="I132" s="25" t="s">
        <v>71</v>
      </c>
      <c r="J132" s="27">
        <v>4000</v>
      </c>
      <c r="K132" s="28">
        <v>36.4</v>
      </c>
      <c r="L132" s="29"/>
      <c r="M132" s="29">
        <f>L132*K132</f>
        <v>0</v>
      </c>
      <c r="N132" s="30">
        <v>4607015182866</v>
      </c>
    </row>
    <row r="133" spans="1:14" ht="34.5" customHeight="1" outlineLevel="3">
      <c r="A133" s="32">
        <v>15836</v>
      </c>
      <c r="B133" s="23" t="str">
        <f>HYPERLINK("http://www.sedek.ru/upload/iblock/7d3/ogurets_kroshka_syn_f1.JPG","фото")</f>
        <v>фото</v>
      </c>
      <c r="C133" s="24"/>
      <c r="D133" s="24" t="s">
        <v>95</v>
      </c>
      <c r="E133" s="25" t="s">
        <v>158</v>
      </c>
      <c r="F133" s="25" t="s">
        <v>159</v>
      </c>
      <c r="G133" s="31">
        <v>0.2</v>
      </c>
      <c r="H133" s="25" t="s">
        <v>70</v>
      </c>
      <c r="I133" s="25" t="s">
        <v>71</v>
      </c>
      <c r="J133" s="27">
        <v>4000</v>
      </c>
      <c r="K133" s="28">
        <v>38.5</v>
      </c>
      <c r="L133" s="29"/>
      <c r="M133" s="29">
        <f>L133*K133</f>
        <v>0</v>
      </c>
      <c r="N133" s="30">
        <v>4690368014847</v>
      </c>
    </row>
    <row r="134" spans="1:14" ht="34.5" customHeight="1" outlineLevel="3">
      <c r="A134" s="32">
        <v>16471</v>
      </c>
      <c r="B134" s="23" t="str">
        <f>HYPERLINK("http://www.sedek.ru/upload/iblock/b81/ogurets_kukolka_f1.jpg","фото")</f>
        <v>фото</v>
      </c>
      <c r="C134" s="24"/>
      <c r="D134" s="24"/>
      <c r="E134" s="25"/>
      <c r="F134" s="25" t="s">
        <v>160</v>
      </c>
      <c r="G134" s="31">
        <v>0.2</v>
      </c>
      <c r="H134" s="25" t="s">
        <v>70</v>
      </c>
      <c r="I134" s="25" t="s">
        <v>71</v>
      </c>
      <c r="J134" s="27">
        <v>4000</v>
      </c>
      <c r="K134" s="28">
        <v>38.5</v>
      </c>
      <c r="L134" s="29"/>
      <c r="M134" s="29">
        <f>L134*K134</f>
        <v>0</v>
      </c>
      <c r="N134" s="30">
        <v>4690368009461</v>
      </c>
    </row>
    <row r="135" spans="1:14" ht="23.25" customHeight="1" outlineLevel="3">
      <c r="A135" s="32">
        <v>15679</v>
      </c>
      <c r="B135" s="23" t="str">
        <f>HYPERLINK("http://sedek.ru/upload/iblock/c9b/ogurets_kukharka_f1.jpg","фото")</f>
        <v>фото</v>
      </c>
      <c r="C135" s="24"/>
      <c r="D135" s="24"/>
      <c r="E135" s="25"/>
      <c r="F135" s="25" t="s">
        <v>161</v>
      </c>
      <c r="G135" s="31">
        <v>0.3</v>
      </c>
      <c r="H135" s="25" t="s">
        <v>70</v>
      </c>
      <c r="I135" s="25" t="s">
        <v>71</v>
      </c>
      <c r="J135" s="27">
        <v>3000</v>
      </c>
      <c r="K135" s="28">
        <v>16.9</v>
      </c>
      <c r="L135" s="29"/>
      <c r="M135" s="29">
        <f>L135*K135</f>
        <v>0</v>
      </c>
      <c r="N135" s="30">
        <v>4690368007566</v>
      </c>
    </row>
    <row r="136" spans="1:14" ht="34.5" customHeight="1" outlineLevel="3">
      <c r="A136" s="32">
        <v>15966</v>
      </c>
      <c r="B136" s="23" t="str">
        <f>HYPERLINK("http://sedek.ru/upload/iblock/2fa/ogurets_la_bella_f1.jpg","фото")</f>
        <v>фото</v>
      </c>
      <c r="C136" s="24"/>
      <c r="D136" s="24"/>
      <c r="E136" s="25" t="s">
        <v>144</v>
      </c>
      <c r="F136" s="25" t="s">
        <v>162</v>
      </c>
      <c r="G136" s="31">
        <v>0.3</v>
      </c>
      <c r="H136" s="25" t="s">
        <v>70</v>
      </c>
      <c r="I136" s="25" t="s">
        <v>71</v>
      </c>
      <c r="J136" s="27">
        <v>3000</v>
      </c>
      <c r="K136" s="28">
        <v>17.7</v>
      </c>
      <c r="L136" s="29"/>
      <c r="M136" s="29">
        <f>L136*K136</f>
        <v>0</v>
      </c>
      <c r="N136" s="30">
        <v>4690368012867</v>
      </c>
    </row>
    <row r="137" spans="1:14" ht="34.5" customHeight="1" outlineLevel="3">
      <c r="A137" s="32">
        <v>14151</v>
      </c>
      <c r="B137" s="23" t="str">
        <f>HYPERLINK("http://sedek.ru/upload/iblock/b7d/ogurets_lizetta_f1.jpg","фото")</f>
        <v>фото</v>
      </c>
      <c r="C137" s="24"/>
      <c r="D137" s="24"/>
      <c r="E137" s="25"/>
      <c r="F137" s="25" t="s">
        <v>163</v>
      </c>
      <c r="G137" s="31">
        <v>0.2</v>
      </c>
      <c r="H137" s="25" t="s">
        <v>70</v>
      </c>
      <c r="I137" s="25" t="s">
        <v>71</v>
      </c>
      <c r="J137" s="27">
        <v>4000</v>
      </c>
      <c r="K137" s="28">
        <v>37.5</v>
      </c>
      <c r="L137" s="29"/>
      <c r="M137" s="29">
        <f>L137*K137</f>
        <v>0</v>
      </c>
      <c r="N137" s="30">
        <v>4607116269695</v>
      </c>
    </row>
    <row r="138" spans="1:14" ht="34.5" customHeight="1" outlineLevel="3">
      <c r="A138" s="32">
        <v>15662</v>
      </c>
      <c r="B138" s="23" t="str">
        <f>HYPERLINK("http://sedek.ru/upload/iblock/b4a/ogurets_lyubimchik.jpg","фото")</f>
        <v>фото</v>
      </c>
      <c r="C138" s="24"/>
      <c r="D138" s="24"/>
      <c r="E138" s="25"/>
      <c r="F138" s="25" t="s">
        <v>164</v>
      </c>
      <c r="G138" s="31">
        <v>0.5</v>
      </c>
      <c r="H138" s="25" t="s">
        <v>70</v>
      </c>
      <c r="I138" s="25" t="s">
        <v>71</v>
      </c>
      <c r="J138" s="27">
        <v>3000</v>
      </c>
      <c r="K138" s="28">
        <v>14.5</v>
      </c>
      <c r="L138" s="29"/>
      <c r="M138" s="29">
        <f>L138*K138</f>
        <v>0</v>
      </c>
      <c r="N138" s="30">
        <v>4690368015868</v>
      </c>
    </row>
    <row r="139" spans="1:14" ht="23.25" customHeight="1" outlineLevel="3">
      <c r="A139" s="32">
        <v>14520</v>
      </c>
      <c r="B139" s="23" t="str">
        <f>HYPERLINK("http://sedek.ru/upload/iblock/57a/ogurets_lyubimyy_malysh.jpg","фото")</f>
        <v>фото</v>
      </c>
      <c r="C139" s="24"/>
      <c r="D139" s="24"/>
      <c r="E139" s="25"/>
      <c r="F139" s="25" t="s">
        <v>165</v>
      </c>
      <c r="G139" s="31">
        <v>0.3</v>
      </c>
      <c r="H139" s="25" t="s">
        <v>70</v>
      </c>
      <c r="I139" s="25" t="s">
        <v>71</v>
      </c>
      <c r="J139" s="27">
        <v>3000</v>
      </c>
      <c r="K139" s="28">
        <v>15.3</v>
      </c>
      <c r="L139" s="29"/>
      <c r="M139" s="29">
        <f>L139*K139</f>
        <v>0</v>
      </c>
      <c r="N139" s="30">
        <v>4690368024037</v>
      </c>
    </row>
    <row r="140" spans="1:14" ht="34.5" customHeight="1" outlineLevel="3">
      <c r="A140" s="32">
        <v>14468</v>
      </c>
      <c r="B140" s="23" t="str">
        <f>HYPERLINK("http://sedek.ru/upload/iblock/5d9/ogurets_madmuazel_f1.png","фото")</f>
        <v>фото</v>
      </c>
      <c r="C140" s="24"/>
      <c r="D140" s="24"/>
      <c r="E140" s="25" t="s">
        <v>144</v>
      </c>
      <c r="F140" s="25" t="s">
        <v>166</v>
      </c>
      <c r="G140" s="31">
        <v>0.3</v>
      </c>
      <c r="H140" s="25" t="s">
        <v>70</v>
      </c>
      <c r="I140" s="25" t="s">
        <v>71</v>
      </c>
      <c r="J140" s="27">
        <v>3000</v>
      </c>
      <c r="K140" s="28">
        <v>23.1</v>
      </c>
      <c r="L140" s="29"/>
      <c r="M140" s="29">
        <f>L140*K140</f>
        <v>0</v>
      </c>
      <c r="N140" s="30">
        <v>4607015187731</v>
      </c>
    </row>
    <row r="141" spans="1:14" ht="23.25" customHeight="1" outlineLevel="3">
      <c r="A141" s="32">
        <v>15244</v>
      </c>
      <c r="B141" s="23" t="str">
        <f>HYPERLINK("http://sedek.ru/upload/iblock/b85/ogurets_mal_da_udal_f1.jpg","фото")</f>
        <v>фото</v>
      </c>
      <c r="C141" s="24"/>
      <c r="D141" s="24"/>
      <c r="E141" s="25"/>
      <c r="F141" s="25" t="s">
        <v>167</v>
      </c>
      <c r="G141" s="31">
        <v>0.2</v>
      </c>
      <c r="H141" s="25" t="s">
        <v>70</v>
      </c>
      <c r="I141" s="25" t="s">
        <v>71</v>
      </c>
      <c r="J141" s="27">
        <v>4000</v>
      </c>
      <c r="K141" s="28">
        <v>44.6</v>
      </c>
      <c r="L141" s="29"/>
      <c r="M141" s="29">
        <f>L141*K141</f>
        <v>0</v>
      </c>
      <c r="N141" s="30">
        <v>4690368000222</v>
      </c>
    </row>
    <row r="142" spans="1:14" ht="34.5" customHeight="1" outlineLevel="3">
      <c r="A142" s="22" t="s">
        <v>168</v>
      </c>
      <c r="B142" s="23" t="str">
        <f>HYPERLINK("http://sedek.ru/upload/iblock/8de/ogurets_mendelson_f1.jpg","фото")</f>
        <v>фото</v>
      </c>
      <c r="C142" s="24"/>
      <c r="D142" s="24" t="s">
        <v>95</v>
      </c>
      <c r="E142" s="25" t="s">
        <v>169</v>
      </c>
      <c r="F142" s="25" t="s">
        <v>170</v>
      </c>
      <c r="G142" s="26">
        <v>5</v>
      </c>
      <c r="H142" s="25" t="s">
        <v>130</v>
      </c>
      <c r="I142" s="25" t="s">
        <v>71</v>
      </c>
      <c r="J142" s="27">
        <v>4000</v>
      </c>
      <c r="K142" s="28">
        <v>88.9</v>
      </c>
      <c r="L142" s="29"/>
      <c r="M142" s="29">
        <f>L142*K142</f>
        <v>0</v>
      </c>
      <c r="N142" s="30">
        <v>4690368026550</v>
      </c>
    </row>
    <row r="143" spans="1:14" ht="34.5" customHeight="1" outlineLevel="3">
      <c r="A143" s="22" t="s">
        <v>171</v>
      </c>
      <c r="B143" s="23" t="str">
        <f>HYPERLINK("http://sedek.ru/upload/iblock/614/ogurets_moy_general_f1.jpg","фото")</f>
        <v>фото</v>
      </c>
      <c r="C143" s="24"/>
      <c r="D143" s="24"/>
      <c r="E143" s="25"/>
      <c r="F143" s="25" t="s">
        <v>172</v>
      </c>
      <c r="G143" s="31">
        <v>0.2</v>
      </c>
      <c r="H143" s="25" t="s">
        <v>70</v>
      </c>
      <c r="I143" s="25" t="s">
        <v>71</v>
      </c>
      <c r="J143" s="27">
        <v>4000</v>
      </c>
      <c r="K143" s="28">
        <v>18.2</v>
      </c>
      <c r="L143" s="29"/>
      <c r="M143" s="29">
        <f>L143*K143</f>
        <v>0</v>
      </c>
      <c r="N143" s="30">
        <v>4690368025287</v>
      </c>
    </row>
    <row r="144" spans="1:14" ht="34.5" customHeight="1" outlineLevel="3">
      <c r="A144" s="22" t="s">
        <v>173</v>
      </c>
      <c r="B144" s="23" t="str">
        <f>HYPERLINK("http://sedek.ru/upload/iblock/a32/ogurets_moringa_f1.jpg","фото")</f>
        <v>фото</v>
      </c>
      <c r="C144" s="24"/>
      <c r="D144" s="24"/>
      <c r="E144" s="25"/>
      <c r="F144" s="25" t="s">
        <v>174</v>
      </c>
      <c r="G144" s="31">
        <v>0.2</v>
      </c>
      <c r="H144" s="25" t="s">
        <v>70</v>
      </c>
      <c r="I144" s="25" t="s">
        <v>71</v>
      </c>
      <c r="J144" s="27">
        <v>4000</v>
      </c>
      <c r="K144" s="28">
        <v>19.3</v>
      </c>
      <c r="L144" s="29"/>
      <c r="M144" s="29">
        <f>L144*K144</f>
        <v>0</v>
      </c>
      <c r="N144" s="30">
        <v>4690368026543</v>
      </c>
    </row>
    <row r="145" spans="1:14" ht="34.5" customHeight="1" outlineLevel="3">
      <c r="A145" s="32">
        <v>14881</v>
      </c>
      <c r="B145" s="23" t="str">
        <f>HYPERLINK("http://sedek.ru/upload/iblock/0e1/ogurets_motylek_f1.jpg","фото")</f>
        <v>фото</v>
      </c>
      <c r="C145" s="24"/>
      <c r="D145" s="24" t="s">
        <v>95</v>
      </c>
      <c r="E145" s="25" t="s">
        <v>158</v>
      </c>
      <c r="F145" s="25" t="s">
        <v>175</v>
      </c>
      <c r="G145" s="31">
        <v>0.3</v>
      </c>
      <c r="H145" s="25" t="s">
        <v>70</v>
      </c>
      <c r="I145" s="25" t="s">
        <v>71</v>
      </c>
      <c r="J145" s="27">
        <v>3000</v>
      </c>
      <c r="K145" s="28">
        <v>28.6</v>
      </c>
      <c r="L145" s="29"/>
      <c r="M145" s="29">
        <f>L145*K145</f>
        <v>0</v>
      </c>
      <c r="N145" s="30">
        <v>4607015185072</v>
      </c>
    </row>
    <row r="146" spans="1:14" ht="34.5" customHeight="1" outlineLevel="3">
      <c r="A146" s="32">
        <v>15957</v>
      </c>
      <c r="B146" s="23" t="str">
        <f>HYPERLINK("http://sedek.ru/upload/iblock/463/ogurets_natali_f1.jpg","фото")</f>
        <v>фото</v>
      </c>
      <c r="C146" s="24"/>
      <c r="D146" s="24"/>
      <c r="E146" s="25"/>
      <c r="F146" s="25" t="s">
        <v>176</v>
      </c>
      <c r="G146" s="31">
        <v>0.3</v>
      </c>
      <c r="H146" s="25" t="s">
        <v>70</v>
      </c>
      <c r="I146" s="25" t="s">
        <v>71</v>
      </c>
      <c r="J146" s="27">
        <v>3000</v>
      </c>
      <c r="K146" s="28">
        <v>17.9</v>
      </c>
      <c r="L146" s="29"/>
      <c r="M146" s="29">
        <f>L146*K146</f>
        <v>0</v>
      </c>
      <c r="N146" s="30">
        <v>4607015187854</v>
      </c>
    </row>
    <row r="147" spans="1:14" ht="34.5" customHeight="1" outlineLevel="3">
      <c r="A147" s="32">
        <v>15311</v>
      </c>
      <c r="B147" s="23" t="str">
        <f>HYPERLINK("http://sedek.ru/upload/iblock/aa4/ogurets_nasha_dasha_f1.jpg","фото")</f>
        <v>фото</v>
      </c>
      <c r="C147" s="24"/>
      <c r="D147" s="24"/>
      <c r="E147" s="25"/>
      <c r="F147" s="25" t="s">
        <v>177</v>
      </c>
      <c r="G147" s="31">
        <v>0.2</v>
      </c>
      <c r="H147" s="25" t="s">
        <v>70</v>
      </c>
      <c r="I147" s="25" t="s">
        <v>71</v>
      </c>
      <c r="J147" s="27">
        <v>4000</v>
      </c>
      <c r="K147" s="28">
        <v>32.5</v>
      </c>
      <c r="L147" s="29"/>
      <c r="M147" s="29">
        <f>L147*K147</f>
        <v>0</v>
      </c>
      <c r="N147" s="30">
        <v>4690368007788</v>
      </c>
    </row>
    <row r="148" spans="1:14" ht="34.5" customHeight="1" outlineLevel="3">
      <c r="A148" s="32">
        <v>15835</v>
      </c>
      <c r="B148" s="23" t="str">
        <f>HYPERLINK("http://sedek.ru/upload/iblock/675/ogurets_obilnyy.jpg","фото")</f>
        <v>фото</v>
      </c>
      <c r="C148" s="24"/>
      <c r="D148" s="24"/>
      <c r="E148" s="25"/>
      <c r="F148" s="25" t="s">
        <v>178</v>
      </c>
      <c r="G148" s="31">
        <v>0.5</v>
      </c>
      <c r="H148" s="25" t="s">
        <v>70</v>
      </c>
      <c r="I148" s="25" t="s">
        <v>71</v>
      </c>
      <c r="J148" s="27">
        <v>3000</v>
      </c>
      <c r="K148" s="28">
        <v>16.1</v>
      </c>
      <c r="L148" s="29"/>
      <c r="M148" s="29">
        <f>L148*K148</f>
        <v>0</v>
      </c>
      <c r="N148" s="30">
        <v>4690368015899</v>
      </c>
    </row>
    <row r="149" spans="1:14" ht="34.5" customHeight="1" outlineLevel="3">
      <c r="A149" s="32">
        <v>16413</v>
      </c>
      <c r="B149" s="23" t="str">
        <f>HYPERLINK("http://sedek.ru/upload/iblock/6c3/ogurets_paltsy_paganini_f1.jpg","фото")</f>
        <v>фото</v>
      </c>
      <c r="C149" s="24"/>
      <c r="D149" s="24" t="s">
        <v>95</v>
      </c>
      <c r="E149" s="25" t="s">
        <v>169</v>
      </c>
      <c r="F149" s="25" t="s">
        <v>179</v>
      </c>
      <c r="G149" s="31">
        <v>0.2</v>
      </c>
      <c r="H149" s="25" t="s">
        <v>70</v>
      </c>
      <c r="I149" s="25" t="s">
        <v>71</v>
      </c>
      <c r="J149" s="27">
        <v>4000</v>
      </c>
      <c r="K149" s="28">
        <v>32.3</v>
      </c>
      <c r="L149" s="29"/>
      <c r="M149" s="29">
        <f>L149*K149</f>
        <v>0</v>
      </c>
      <c r="N149" s="30">
        <v>4690368014946</v>
      </c>
    </row>
    <row r="150" spans="1:14" ht="23.25" customHeight="1" outlineLevel="3">
      <c r="A150" s="32">
        <v>15500</v>
      </c>
      <c r="B150" s="23" t="str">
        <f>HYPERLINK("http://www.sedek.ru/upload/iblock/046/ogurets_parad.jpg","фото")</f>
        <v>фото</v>
      </c>
      <c r="C150" s="24"/>
      <c r="D150" s="24"/>
      <c r="E150" s="25" t="s">
        <v>144</v>
      </c>
      <c r="F150" s="25" t="s">
        <v>180</v>
      </c>
      <c r="G150" s="31">
        <v>0.5</v>
      </c>
      <c r="H150" s="25" t="s">
        <v>70</v>
      </c>
      <c r="I150" s="25" t="s">
        <v>71</v>
      </c>
      <c r="J150" s="27">
        <v>3000</v>
      </c>
      <c r="K150" s="28">
        <v>14.5</v>
      </c>
      <c r="L150" s="29"/>
      <c r="M150" s="29">
        <f>L150*K150</f>
        <v>0</v>
      </c>
      <c r="N150" s="30">
        <v>4607116269619</v>
      </c>
    </row>
    <row r="151" spans="1:14" ht="34.5" customHeight="1" outlineLevel="3">
      <c r="A151" s="32">
        <v>13599</v>
      </c>
      <c r="B151" s="23" t="str">
        <f>HYPERLINK("http://sedek.ru/upload/iblock/ede/ogurets_parizhskiy_kornishon.jpg","фото")</f>
        <v>фото</v>
      </c>
      <c r="C151" s="24"/>
      <c r="D151" s="24"/>
      <c r="E151" s="25"/>
      <c r="F151" s="25" t="s">
        <v>181</v>
      </c>
      <c r="G151" s="31">
        <v>0.5</v>
      </c>
      <c r="H151" s="25" t="s">
        <v>70</v>
      </c>
      <c r="I151" s="25" t="s">
        <v>71</v>
      </c>
      <c r="J151" s="27">
        <v>3000</v>
      </c>
      <c r="K151" s="28">
        <v>13.9</v>
      </c>
      <c r="L151" s="29"/>
      <c r="M151" s="29">
        <f>L151*K151</f>
        <v>0</v>
      </c>
      <c r="N151" s="30">
        <v>4607015187908</v>
      </c>
    </row>
    <row r="152" spans="1:14" ht="34.5" customHeight="1" outlineLevel="3">
      <c r="A152" s="32">
        <v>14755</v>
      </c>
      <c r="B152" s="23" t="str">
        <f>HYPERLINK("http://sedek.ru/upload/iblock/69b/ogurets_patriarkh_f1.jpg","фото")</f>
        <v>фото</v>
      </c>
      <c r="C152" s="24"/>
      <c r="D152" s="24"/>
      <c r="E152" s="25"/>
      <c r="F152" s="25" t="s">
        <v>182</v>
      </c>
      <c r="G152" s="31">
        <v>0.3</v>
      </c>
      <c r="H152" s="25" t="s">
        <v>70</v>
      </c>
      <c r="I152" s="25" t="s">
        <v>71</v>
      </c>
      <c r="J152" s="27">
        <v>3000</v>
      </c>
      <c r="K152" s="28">
        <v>17.3</v>
      </c>
      <c r="L152" s="29"/>
      <c r="M152" s="29">
        <f>L152*K152</f>
        <v>0</v>
      </c>
      <c r="N152" s="30">
        <v>4607015185089</v>
      </c>
    </row>
    <row r="153" spans="1:14" ht="34.5" customHeight="1" outlineLevel="3">
      <c r="A153" s="32">
        <v>13954</v>
      </c>
      <c r="B153" s="23" t="str">
        <f>HYPERLINK("http://sedek.ru/upload/iblock/554/ogurets_podarok_vostoka_f1.jpg","фото")</f>
        <v>фото</v>
      </c>
      <c r="C153" s="24"/>
      <c r="D153" s="24"/>
      <c r="E153" s="25"/>
      <c r="F153" s="25" t="s">
        <v>183</v>
      </c>
      <c r="G153" s="31">
        <v>0.2</v>
      </c>
      <c r="H153" s="25" t="s">
        <v>70</v>
      </c>
      <c r="I153" s="25" t="s">
        <v>71</v>
      </c>
      <c r="J153" s="27">
        <v>4000</v>
      </c>
      <c r="K153" s="28">
        <v>19.3</v>
      </c>
      <c r="L153" s="29"/>
      <c r="M153" s="29">
        <f>L153*K153</f>
        <v>0</v>
      </c>
      <c r="N153" s="30">
        <v>4690368023665</v>
      </c>
    </row>
    <row r="154" spans="1:14" ht="34.5" customHeight="1" outlineLevel="3">
      <c r="A154" s="32">
        <v>13595</v>
      </c>
      <c r="B154" s="23" t="str">
        <f>HYPERLINK("http://sedek.ru/upload/iblock/6c0/ogurets_podmoskovnye_vechera_sedek_f1.jpg","фото")</f>
        <v>фото</v>
      </c>
      <c r="C154" s="24"/>
      <c r="D154" s="24"/>
      <c r="E154" s="25"/>
      <c r="F154" s="25" t="s">
        <v>184</v>
      </c>
      <c r="G154" s="31">
        <v>0.2</v>
      </c>
      <c r="H154" s="25" t="s">
        <v>70</v>
      </c>
      <c r="I154" s="25" t="s">
        <v>71</v>
      </c>
      <c r="J154" s="27">
        <v>4000</v>
      </c>
      <c r="K154" s="28">
        <v>32.1</v>
      </c>
      <c r="L154" s="29"/>
      <c r="M154" s="29">
        <f>L154*K154</f>
        <v>0</v>
      </c>
      <c r="N154" s="30">
        <v>4690368012584</v>
      </c>
    </row>
    <row r="155" spans="1:14" ht="23.25" customHeight="1" outlineLevel="3">
      <c r="A155" s="32">
        <v>14339</v>
      </c>
      <c r="B155" s="23" t="str">
        <f>HYPERLINK("http://sedek.ru/upload/iblock/593/ogurets_polina_f1.jpg","фото")</f>
        <v>фото</v>
      </c>
      <c r="C155" s="24"/>
      <c r="D155" s="24"/>
      <c r="E155" s="25"/>
      <c r="F155" s="25" t="s">
        <v>185</v>
      </c>
      <c r="G155" s="31">
        <v>0.3</v>
      </c>
      <c r="H155" s="25" t="s">
        <v>70</v>
      </c>
      <c r="I155" s="25" t="s">
        <v>71</v>
      </c>
      <c r="J155" s="27">
        <v>3000</v>
      </c>
      <c r="K155" s="28">
        <v>26.5</v>
      </c>
      <c r="L155" s="29"/>
      <c r="M155" s="29">
        <f>L155*K155</f>
        <v>0</v>
      </c>
      <c r="N155" s="30">
        <v>4607015185096</v>
      </c>
    </row>
    <row r="156" spans="1:14" ht="23.25" customHeight="1" outlineLevel="3">
      <c r="A156" s="32">
        <v>16250</v>
      </c>
      <c r="B156" s="23" t="str">
        <f>HYPERLINK("http://sedek.ru/upload/iblock/774/ogurets_prazdnik_polya_f1.jpg","фото")</f>
        <v>фото</v>
      </c>
      <c r="C156" s="24"/>
      <c r="D156" s="24"/>
      <c r="E156" s="25"/>
      <c r="F156" s="25" t="s">
        <v>186</v>
      </c>
      <c r="G156" s="31">
        <v>0.3</v>
      </c>
      <c r="H156" s="25" t="s">
        <v>70</v>
      </c>
      <c r="I156" s="25" t="s">
        <v>71</v>
      </c>
      <c r="J156" s="27">
        <v>3000</v>
      </c>
      <c r="K156" s="28">
        <v>19.6</v>
      </c>
      <c r="L156" s="29"/>
      <c r="M156" s="29">
        <f>L156*K156</f>
        <v>0</v>
      </c>
      <c r="N156" s="30">
        <v>4690368014854</v>
      </c>
    </row>
    <row r="157" spans="1:14" ht="23.25" customHeight="1" outlineLevel="3">
      <c r="A157" s="32">
        <v>14515</v>
      </c>
      <c r="B157" s="23" t="str">
        <f>HYPERLINK("http://sedek.ru/upload/iblock/831/ogurets_prestol_f1.jpg","фото")</f>
        <v>фото</v>
      </c>
      <c r="C157" s="24"/>
      <c r="D157" s="24"/>
      <c r="E157" s="25"/>
      <c r="F157" s="25" t="s">
        <v>187</v>
      </c>
      <c r="G157" s="31">
        <v>0.3</v>
      </c>
      <c r="H157" s="25" t="s">
        <v>70</v>
      </c>
      <c r="I157" s="25" t="s">
        <v>71</v>
      </c>
      <c r="J157" s="27">
        <v>3000</v>
      </c>
      <c r="K157" s="28">
        <v>17.3</v>
      </c>
      <c r="L157" s="29"/>
      <c r="M157" s="29">
        <f>L157*K157</f>
        <v>0</v>
      </c>
      <c r="N157" s="30">
        <v>4607116269718</v>
      </c>
    </row>
    <row r="158" spans="1:14" ht="34.5" customHeight="1" outlineLevel="3">
      <c r="A158" s="22" t="s">
        <v>188</v>
      </c>
      <c r="B158" s="23" t="str">
        <f>HYPERLINK("http://www.sedek.ru/upload/iblock/35d/ogurets_prokofev_f1_professionalnye_semena.jpg","фото")</f>
        <v>фото</v>
      </c>
      <c r="C158" s="24"/>
      <c r="D158" s="24" t="s">
        <v>95</v>
      </c>
      <c r="E158" s="25" t="s">
        <v>169</v>
      </c>
      <c r="F158" s="25" t="s">
        <v>189</v>
      </c>
      <c r="G158" s="26">
        <v>8</v>
      </c>
      <c r="H158" s="25" t="s">
        <v>130</v>
      </c>
      <c r="I158" s="25" t="s">
        <v>71</v>
      </c>
      <c r="J158" s="27">
        <v>4000</v>
      </c>
      <c r="K158" s="28">
        <v>67.8</v>
      </c>
      <c r="L158" s="29"/>
      <c r="M158" s="29">
        <f>L158*K158</f>
        <v>0</v>
      </c>
      <c r="N158" s="30">
        <v>4690368030847</v>
      </c>
    </row>
    <row r="159" spans="1:14" ht="23.25" customHeight="1" outlineLevel="3">
      <c r="A159" s="32">
        <v>13818</v>
      </c>
      <c r="B159" s="23" t="str">
        <f>HYPERLINK("http://sedek.ru/upload/iblock/0ca/ogurets_raznosol_f1.jpg","фото")</f>
        <v>фото</v>
      </c>
      <c r="C159" s="24"/>
      <c r="D159" s="24"/>
      <c r="E159" s="25"/>
      <c r="F159" s="25" t="s">
        <v>190</v>
      </c>
      <c r="G159" s="31">
        <v>0.3</v>
      </c>
      <c r="H159" s="25" t="s">
        <v>70</v>
      </c>
      <c r="I159" s="25" t="s">
        <v>71</v>
      </c>
      <c r="J159" s="27">
        <v>3000</v>
      </c>
      <c r="K159" s="28">
        <v>20.4</v>
      </c>
      <c r="L159" s="29"/>
      <c r="M159" s="29">
        <f>L159*K159</f>
        <v>0</v>
      </c>
      <c r="N159" s="30">
        <v>4690368005838</v>
      </c>
    </row>
    <row r="160" spans="1:14" ht="34.5" customHeight="1" outlineLevel="3">
      <c r="A160" s="32">
        <v>15631</v>
      </c>
      <c r="B160" s="23" t="str">
        <f>HYPERLINK("http://sedek.ru/upload/iblock/7ae/ogurets_rita_f1.jpg","фото")</f>
        <v>фото</v>
      </c>
      <c r="C160" s="24"/>
      <c r="D160" s="24"/>
      <c r="E160" s="25"/>
      <c r="F160" s="25" t="s">
        <v>191</v>
      </c>
      <c r="G160" s="31">
        <v>0.2</v>
      </c>
      <c r="H160" s="25" t="s">
        <v>70</v>
      </c>
      <c r="I160" s="25" t="s">
        <v>71</v>
      </c>
      <c r="J160" s="27">
        <v>4000</v>
      </c>
      <c r="K160" s="28">
        <v>14.7</v>
      </c>
      <c r="L160" s="29"/>
      <c r="M160" s="29">
        <f>L160*K160</f>
        <v>0</v>
      </c>
      <c r="N160" s="30">
        <v>4690368015332</v>
      </c>
    </row>
    <row r="161" spans="1:14" ht="34.5" customHeight="1" outlineLevel="3">
      <c r="A161" s="22" t="s">
        <v>192</v>
      </c>
      <c r="B161" s="23" t="str">
        <f>HYPERLINK("http://www.sedek.ru/upload/iblock/872/ogurets_rikhter_f1.jpg","Фото")</f>
        <v>Фото</v>
      </c>
      <c r="C161" s="24"/>
      <c r="D161" s="24" t="s">
        <v>95</v>
      </c>
      <c r="E161" s="25" t="s">
        <v>169</v>
      </c>
      <c r="F161" s="25" t="s">
        <v>193</v>
      </c>
      <c r="G161" s="26">
        <v>8</v>
      </c>
      <c r="H161" s="25" t="s">
        <v>130</v>
      </c>
      <c r="I161" s="25" t="s">
        <v>71</v>
      </c>
      <c r="J161" s="27">
        <v>4000</v>
      </c>
      <c r="K161" s="28">
        <v>38.5</v>
      </c>
      <c r="L161" s="29"/>
      <c r="M161" s="29">
        <f>L161*K161</f>
        <v>0</v>
      </c>
      <c r="N161" s="30">
        <v>4690368026451</v>
      </c>
    </row>
    <row r="162" spans="1:14" ht="34.5" customHeight="1" outlineLevel="3">
      <c r="A162" s="32">
        <v>15672</v>
      </c>
      <c r="B162" s="23" t="str">
        <f>HYPERLINK("http://sedek.ru/upload/iblock/c2f/ogurets_russkiy_stil_f1.jpg","фото")</f>
        <v>фото</v>
      </c>
      <c r="C162" s="24"/>
      <c r="D162" s="24"/>
      <c r="E162" s="25" t="s">
        <v>144</v>
      </c>
      <c r="F162" s="25" t="s">
        <v>194</v>
      </c>
      <c r="G162" s="31">
        <v>0.2</v>
      </c>
      <c r="H162" s="25" t="s">
        <v>70</v>
      </c>
      <c r="I162" s="25" t="s">
        <v>71</v>
      </c>
      <c r="J162" s="27">
        <v>4000</v>
      </c>
      <c r="K162" s="28">
        <v>37.4</v>
      </c>
      <c r="L162" s="29"/>
      <c r="M162" s="29">
        <f>L162*K162</f>
        <v>0</v>
      </c>
      <c r="N162" s="30">
        <v>4607116269602</v>
      </c>
    </row>
    <row r="163" spans="1:14" ht="34.5" customHeight="1" outlineLevel="3">
      <c r="A163" s="32">
        <v>14847</v>
      </c>
      <c r="B163" s="23" t="str">
        <f>HYPERLINK("http://www.sedek.ru/upload/iblock/586/ogurets_sakharnyy_malysh_f1.jpg","фото")</f>
        <v>фото</v>
      </c>
      <c r="C163" s="24"/>
      <c r="D163" s="24" t="s">
        <v>95</v>
      </c>
      <c r="E163" s="25"/>
      <c r="F163" s="25" t="s">
        <v>195</v>
      </c>
      <c r="G163" s="31">
        <v>0.2</v>
      </c>
      <c r="H163" s="25" t="s">
        <v>70</v>
      </c>
      <c r="I163" s="25" t="s">
        <v>71</v>
      </c>
      <c r="J163" s="27">
        <v>4000</v>
      </c>
      <c r="K163" s="28">
        <v>36.7</v>
      </c>
      <c r="L163" s="29"/>
      <c r="M163" s="29">
        <f>L163*K163</f>
        <v>0</v>
      </c>
      <c r="N163" s="30">
        <v>4607149404681</v>
      </c>
    </row>
    <row r="164" spans="1:14" ht="34.5" customHeight="1" outlineLevel="3">
      <c r="A164" s="32">
        <v>16123</v>
      </c>
      <c r="B164" s="23" t="str">
        <f>HYPERLINK("http://www.sedek.ru/upload/iblock/dd7/ogurets_sladkaya_zhenshchina_f1.jpg","фото")</f>
        <v>фото</v>
      </c>
      <c r="C164" s="24"/>
      <c r="D164" s="24"/>
      <c r="E164" s="25"/>
      <c r="F164" s="25" t="s">
        <v>196</v>
      </c>
      <c r="G164" s="31">
        <v>0.3</v>
      </c>
      <c r="H164" s="25" t="s">
        <v>70</v>
      </c>
      <c r="I164" s="25" t="s">
        <v>71</v>
      </c>
      <c r="J164" s="27">
        <v>3000</v>
      </c>
      <c r="K164" s="28">
        <v>18</v>
      </c>
      <c r="L164" s="29"/>
      <c r="M164" s="29">
        <f>L164*K164</f>
        <v>0</v>
      </c>
      <c r="N164" s="30">
        <v>4607149404766</v>
      </c>
    </row>
    <row r="165" spans="1:14" ht="34.5" customHeight="1" outlineLevel="3">
      <c r="A165" s="32">
        <v>14770</v>
      </c>
      <c r="B165" s="23" t="str">
        <f>HYPERLINK("http://sedek.ru/upload/iblock/c0e/ogurets_sladkiy_korol_f1.jpg","фото")</f>
        <v>фото</v>
      </c>
      <c r="C165" s="24"/>
      <c r="D165" s="24"/>
      <c r="E165" s="25"/>
      <c r="F165" s="25" t="s">
        <v>197</v>
      </c>
      <c r="G165" s="31">
        <v>0.5</v>
      </c>
      <c r="H165" s="25" t="s">
        <v>70</v>
      </c>
      <c r="I165" s="25" t="s">
        <v>71</v>
      </c>
      <c r="J165" s="27">
        <v>3000</v>
      </c>
      <c r="K165" s="28">
        <v>22.7</v>
      </c>
      <c r="L165" s="29"/>
      <c r="M165" s="29">
        <f>L165*K165</f>
        <v>0</v>
      </c>
      <c r="N165" s="30">
        <v>4607149404698</v>
      </c>
    </row>
    <row r="166" spans="1:14" ht="23.25" customHeight="1" outlineLevel="3">
      <c r="A166" s="32">
        <v>13768</v>
      </c>
      <c r="B166" s="23" t="str">
        <f>HYPERLINK("http://sedek.ru/upload/iblock/72a/ogurets_sudarynya.jpg","фото")</f>
        <v>фото</v>
      </c>
      <c r="C166" s="24"/>
      <c r="D166" s="24"/>
      <c r="E166" s="25" t="s">
        <v>144</v>
      </c>
      <c r="F166" s="25" t="s">
        <v>198</v>
      </c>
      <c r="G166" s="31">
        <v>0.3</v>
      </c>
      <c r="H166" s="25" t="s">
        <v>70</v>
      </c>
      <c r="I166" s="25" t="s">
        <v>71</v>
      </c>
      <c r="J166" s="27">
        <v>3000</v>
      </c>
      <c r="K166" s="28">
        <v>14.5</v>
      </c>
      <c r="L166" s="29"/>
      <c r="M166" s="29">
        <f>L166*K166</f>
        <v>0</v>
      </c>
      <c r="N166" s="30">
        <v>4690368008884</v>
      </c>
    </row>
    <row r="167" spans="1:14" ht="34.5" customHeight="1" outlineLevel="3">
      <c r="A167" s="32">
        <v>14348</v>
      </c>
      <c r="B167" s="23" t="str">
        <f>HYPERLINK("http://sedek.ru/upload/iblock/443/ogurets_khozyayushka_f1.jpg","фото")</f>
        <v>фото</v>
      </c>
      <c r="C167" s="24"/>
      <c r="D167" s="24"/>
      <c r="E167" s="25"/>
      <c r="F167" s="25" t="s">
        <v>199</v>
      </c>
      <c r="G167" s="31">
        <v>0.2</v>
      </c>
      <c r="H167" s="25" t="s">
        <v>70</v>
      </c>
      <c r="I167" s="25" t="s">
        <v>71</v>
      </c>
      <c r="J167" s="27">
        <v>4000</v>
      </c>
      <c r="K167" s="28">
        <v>44.6</v>
      </c>
      <c r="L167" s="29"/>
      <c r="M167" s="29">
        <f>L167*K167</f>
        <v>0</v>
      </c>
      <c r="N167" s="30">
        <v>4690368009508</v>
      </c>
    </row>
    <row r="168" spans="1:14" ht="23.25" customHeight="1" outlineLevel="3">
      <c r="A168" s="32">
        <v>16251</v>
      </c>
      <c r="B168" s="23" t="str">
        <f>HYPERLINK("http://sedek.ru/upload/iblock/99c/ogurets_eliza_f1.jpg","фото")</f>
        <v>фото</v>
      </c>
      <c r="C168" s="24"/>
      <c r="D168" s="24"/>
      <c r="E168" s="25"/>
      <c r="F168" s="25" t="s">
        <v>200</v>
      </c>
      <c r="G168" s="31">
        <v>0.2</v>
      </c>
      <c r="H168" s="25" t="s">
        <v>70</v>
      </c>
      <c r="I168" s="25" t="s">
        <v>71</v>
      </c>
      <c r="J168" s="27">
        <v>4000</v>
      </c>
      <c r="K168" s="28">
        <v>23.1</v>
      </c>
      <c r="L168" s="29"/>
      <c r="M168" s="29">
        <f>L168*K168</f>
        <v>0</v>
      </c>
      <c r="N168" s="30">
        <v>4690368015110</v>
      </c>
    </row>
    <row r="169" spans="1:14" ht="34.5" customHeight="1" outlineLevel="3">
      <c r="A169" s="32">
        <v>14327</v>
      </c>
      <c r="B169" s="23" t="str">
        <f>HYPERLINK("http://sedek.ru/upload/iblock/0fa/ogurets_yamal_f1.jpg","фото")</f>
        <v>фото</v>
      </c>
      <c r="C169" s="24"/>
      <c r="D169" s="24"/>
      <c r="E169" s="25"/>
      <c r="F169" s="25" t="s">
        <v>201</v>
      </c>
      <c r="G169" s="31">
        <v>0.2</v>
      </c>
      <c r="H169" s="25" t="s">
        <v>70</v>
      </c>
      <c r="I169" s="25" t="s">
        <v>71</v>
      </c>
      <c r="J169" s="27">
        <v>4000</v>
      </c>
      <c r="K169" s="28">
        <v>41.1</v>
      </c>
      <c r="L169" s="29"/>
      <c r="M169" s="29">
        <f>L169*K169</f>
        <v>0</v>
      </c>
      <c r="N169" s="30">
        <v>4690368017008</v>
      </c>
    </row>
    <row r="170" spans="1:14" ht="12" customHeight="1" outlineLevel="2">
      <c r="A170" s="19"/>
      <c r="B170" s="20"/>
      <c r="C170" s="20"/>
      <c r="D170" s="20"/>
      <c r="E170" s="20"/>
      <c r="F170" s="20" t="s">
        <v>202</v>
      </c>
      <c r="G170" s="20"/>
      <c r="H170" s="20"/>
      <c r="I170" s="20"/>
      <c r="J170" s="20"/>
      <c r="K170" s="20"/>
      <c r="L170" s="20"/>
      <c r="M170" s="20"/>
      <c r="N170" s="21"/>
    </row>
    <row r="171" spans="1:14" ht="34.5" customHeight="1" outlineLevel="3">
      <c r="A171" s="32">
        <v>16056</v>
      </c>
      <c r="B171" s="23" t="str">
        <f>HYPERLINK("http://sedek.ru/upload/iblock/06b/patisson_zontik.jpg","фото")</f>
        <v>фото</v>
      </c>
      <c r="C171" s="24"/>
      <c r="D171" s="24"/>
      <c r="E171" s="25"/>
      <c r="F171" s="25" t="s">
        <v>203</v>
      </c>
      <c r="G171" s="26">
        <v>1</v>
      </c>
      <c r="H171" s="25" t="s">
        <v>70</v>
      </c>
      <c r="I171" s="25" t="s">
        <v>71</v>
      </c>
      <c r="J171" s="27">
        <v>2000</v>
      </c>
      <c r="K171" s="28">
        <v>15.2</v>
      </c>
      <c r="L171" s="29"/>
      <c r="M171" s="29">
        <f>L171*K171</f>
        <v>0</v>
      </c>
      <c r="N171" s="30">
        <v>4690368000284</v>
      </c>
    </row>
    <row r="172" spans="1:14" ht="12" customHeight="1" outlineLevel="2">
      <c r="A172" s="19"/>
      <c r="B172" s="20"/>
      <c r="C172" s="20"/>
      <c r="D172" s="20"/>
      <c r="E172" s="20"/>
      <c r="F172" s="20" t="s">
        <v>204</v>
      </c>
      <c r="G172" s="20"/>
      <c r="H172" s="20"/>
      <c r="I172" s="20"/>
      <c r="J172" s="20"/>
      <c r="K172" s="20"/>
      <c r="L172" s="20"/>
      <c r="M172" s="20"/>
      <c r="N172" s="21"/>
    </row>
    <row r="173" spans="1:14" ht="34.5" customHeight="1" outlineLevel="3">
      <c r="A173" s="22" t="s">
        <v>205</v>
      </c>
      <c r="B173" s="23" t="str">
        <f>HYPERLINK("http://sedek.ru/upload/iblock/979/perets_admiral_ushakov_f1.jpg","фото")</f>
        <v>фото</v>
      </c>
      <c r="C173" s="24"/>
      <c r="D173" s="24" t="s">
        <v>95</v>
      </c>
      <c r="E173" s="25" t="s">
        <v>206</v>
      </c>
      <c r="F173" s="25" t="s">
        <v>207</v>
      </c>
      <c r="G173" s="31">
        <v>0.1</v>
      </c>
      <c r="H173" s="25" t="s">
        <v>70</v>
      </c>
      <c r="I173" s="25" t="s">
        <v>71</v>
      </c>
      <c r="J173" s="27">
        <v>4000</v>
      </c>
      <c r="K173" s="28">
        <v>75.9</v>
      </c>
      <c r="L173" s="29"/>
      <c r="M173" s="29">
        <f>L173*K173</f>
        <v>0</v>
      </c>
      <c r="N173" s="30">
        <v>4690368027427</v>
      </c>
    </row>
    <row r="174" spans="1:14" ht="34.5" customHeight="1" outlineLevel="3">
      <c r="A174" s="32">
        <v>14019</v>
      </c>
      <c r="B174" s="23" t="str">
        <f>HYPERLINK("http://www.sedek.ru/upload/iblock/cea/perets_vengerskiy_zhyeltyy.jpg","фото")</f>
        <v>фото</v>
      </c>
      <c r="C174" s="24"/>
      <c r="D174" s="24"/>
      <c r="E174" s="25" t="s">
        <v>208</v>
      </c>
      <c r="F174" s="25" t="s">
        <v>209</v>
      </c>
      <c r="G174" s="31">
        <v>0.1</v>
      </c>
      <c r="H174" s="25" t="s">
        <v>70</v>
      </c>
      <c r="I174" s="25" t="s">
        <v>71</v>
      </c>
      <c r="J174" s="27">
        <v>4000</v>
      </c>
      <c r="K174" s="28">
        <v>15.2</v>
      </c>
      <c r="L174" s="29"/>
      <c r="M174" s="29">
        <f>L174*K174</f>
        <v>0</v>
      </c>
      <c r="N174" s="30">
        <v>4607015183146</v>
      </c>
    </row>
    <row r="175" spans="1:14" ht="34.5" customHeight="1" outlineLevel="3">
      <c r="A175" s="32">
        <v>16027</v>
      </c>
      <c r="B175" s="23" t="str">
        <f>HYPERLINK("http://sedek.ru/upload/iblock/1f2/perets_violetta.jpg","фото")</f>
        <v>фото</v>
      </c>
      <c r="C175" s="24"/>
      <c r="D175" s="24" t="s">
        <v>95</v>
      </c>
      <c r="E175" s="25"/>
      <c r="F175" s="25" t="s">
        <v>210</v>
      </c>
      <c r="G175" s="31">
        <v>0.2</v>
      </c>
      <c r="H175" s="25" t="s">
        <v>70</v>
      </c>
      <c r="I175" s="25" t="s">
        <v>71</v>
      </c>
      <c r="J175" s="27">
        <v>4000</v>
      </c>
      <c r="K175" s="28">
        <v>16.1</v>
      </c>
      <c r="L175" s="29"/>
      <c r="M175" s="29">
        <f>L175*K175</f>
        <v>0</v>
      </c>
      <c r="N175" s="30">
        <v>4607015183245</v>
      </c>
    </row>
    <row r="176" spans="1:14" ht="34.5" customHeight="1" outlineLevel="3">
      <c r="A176" s="46">
        <v>14028</v>
      </c>
      <c r="B176" s="47" t="str">
        <f>HYPERLINK("http://www.sedek.ru/upload/iblock/be7/perets_galateya.jpg","фото")</f>
        <v>фото</v>
      </c>
      <c r="C176" s="48"/>
      <c r="D176" s="48" t="s">
        <v>95</v>
      </c>
      <c r="E176" s="49" t="s">
        <v>211</v>
      </c>
      <c r="F176" s="49" t="s">
        <v>212</v>
      </c>
      <c r="G176" s="50">
        <v>0.2</v>
      </c>
      <c r="H176" s="49" t="s">
        <v>70</v>
      </c>
      <c r="I176" s="49" t="s">
        <v>71</v>
      </c>
      <c r="J176" s="51">
        <v>4000</v>
      </c>
      <c r="K176" s="52">
        <v>14.4</v>
      </c>
      <c r="L176" s="53"/>
      <c r="M176" s="53">
        <f>L176*K176</f>
        <v>0</v>
      </c>
      <c r="N176" s="30">
        <v>4607015183320</v>
      </c>
    </row>
    <row r="177" spans="1:14" ht="34.5" customHeight="1" outlineLevel="3">
      <c r="A177" s="32">
        <v>15120</v>
      </c>
      <c r="B177" s="23" t="str">
        <f>HYPERLINK("http://sedek.ru/upload/iblock/c46/perets_igrok.jpg","фото")</f>
        <v>фото</v>
      </c>
      <c r="C177" s="24"/>
      <c r="D177" s="24" t="s">
        <v>95</v>
      </c>
      <c r="E177" s="25" t="s">
        <v>211</v>
      </c>
      <c r="F177" s="25" t="s">
        <v>213</v>
      </c>
      <c r="G177" s="31">
        <v>0.2</v>
      </c>
      <c r="H177" s="25" t="s">
        <v>70</v>
      </c>
      <c r="I177" s="25" t="s">
        <v>71</v>
      </c>
      <c r="J177" s="27">
        <v>4000</v>
      </c>
      <c r="K177" s="28">
        <v>19.9</v>
      </c>
      <c r="L177" s="29"/>
      <c r="M177" s="29">
        <f>L177*K177</f>
        <v>0</v>
      </c>
      <c r="N177" s="30">
        <v>4607015183849</v>
      </c>
    </row>
    <row r="178" spans="1:14" ht="34.5" customHeight="1" outlineLevel="3">
      <c r="A178" s="32">
        <v>16411</v>
      </c>
      <c r="B178" s="23" t="str">
        <f>HYPERLINK("http://sedek.ru/upload/iblock/9f0/perets_klyuv_sokola.jpg","фото")</f>
        <v>фото</v>
      </c>
      <c r="C178" s="24"/>
      <c r="D178" s="24" t="s">
        <v>95</v>
      </c>
      <c r="E178" s="25" t="s">
        <v>208</v>
      </c>
      <c r="F178" s="25" t="s">
        <v>214</v>
      </c>
      <c r="G178" s="31">
        <v>0.2</v>
      </c>
      <c r="H178" s="25" t="s">
        <v>70</v>
      </c>
      <c r="I178" s="25" t="s">
        <v>71</v>
      </c>
      <c r="J178" s="27">
        <v>4000</v>
      </c>
      <c r="K178" s="28">
        <v>16.1</v>
      </c>
      <c r="L178" s="29"/>
      <c r="M178" s="29">
        <f>L178*K178</f>
        <v>0</v>
      </c>
      <c r="N178" s="30">
        <v>4607149400096</v>
      </c>
    </row>
    <row r="179" spans="1:14" ht="34.5" customHeight="1" outlineLevel="3">
      <c r="A179" s="32">
        <v>15253</v>
      </c>
      <c r="B179" s="23" t="str">
        <f>HYPERLINK("http://sedek.ru/upload/iblock/ca5/perets_korvet.jpg","фото")</f>
        <v>фото</v>
      </c>
      <c r="C179" s="24"/>
      <c r="D179" s="24"/>
      <c r="E179" s="25"/>
      <c r="F179" s="25" t="s">
        <v>215</v>
      </c>
      <c r="G179" s="31">
        <v>0.2</v>
      </c>
      <c r="H179" s="25" t="s">
        <v>70</v>
      </c>
      <c r="I179" s="25" t="s">
        <v>71</v>
      </c>
      <c r="J179" s="27">
        <v>4000</v>
      </c>
      <c r="K179" s="28">
        <v>16.1</v>
      </c>
      <c r="L179" s="29"/>
      <c r="M179" s="29">
        <f>L179*K179</f>
        <v>0</v>
      </c>
      <c r="N179" s="30">
        <v>4607015184143</v>
      </c>
    </row>
    <row r="180" spans="1:14" ht="34.5" customHeight="1" outlineLevel="3">
      <c r="A180" s="32">
        <v>13657</v>
      </c>
      <c r="B180" s="23" t="str">
        <f>HYPERLINK("http://www.sedek.ru/upload/iblock/5d1/perets_kupchishka_f1.jpg","фото")</f>
        <v>фото</v>
      </c>
      <c r="C180" s="24"/>
      <c r="D180" s="24"/>
      <c r="E180" s="25"/>
      <c r="F180" s="25" t="s">
        <v>216</v>
      </c>
      <c r="G180" s="31">
        <v>0.1</v>
      </c>
      <c r="H180" s="25" t="s">
        <v>70</v>
      </c>
      <c r="I180" s="25" t="s">
        <v>71</v>
      </c>
      <c r="J180" s="27">
        <v>4000</v>
      </c>
      <c r="K180" s="28">
        <v>16.1</v>
      </c>
      <c r="L180" s="29"/>
      <c r="M180" s="29">
        <f>L180*K180</f>
        <v>0</v>
      </c>
      <c r="N180" s="30">
        <v>4690368014540</v>
      </c>
    </row>
    <row r="181" spans="1:14" ht="34.5" customHeight="1" outlineLevel="3">
      <c r="A181" s="32">
        <v>14872</v>
      </c>
      <c r="B181" s="23" t="str">
        <f>HYPERLINK("http://sedek.ru/upload/iblock/9fd/perets_oranzhevoe_chudo.jpg","фото")</f>
        <v>фото</v>
      </c>
      <c r="C181" s="24"/>
      <c r="D181" s="24"/>
      <c r="E181" s="25" t="s">
        <v>217</v>
      </c>
      <c r="F181" s="25" t="s">
        <v>218</v>
      </c>
      <c r="G181" s="31">
        <v>0.1</v>
      </c>
      <c r="H181" s="25" t="s">
        <v>70</v>
      </c>
      <c r="I181" s="25" t="s">
        <v>71</v>
      </c>
      <c r="J181" s="27">
        <v>4000</v>
      </c>
      <c r="K181" s="28">
        <v>21.9</v>
      </c>
      <c r="L181" s="29"/>
      <c r="M181" s="29">
        <f>L181*K181</f>
        <v>0</v>
      </c>
      <c r="N181" s="30">
        <v>4607015188417</v>
      </c>
    </row>
    <row r="182" spans="1:14" ht="34.5" customHeight="1" outlineLevel="3">
      <c r="A182" s="32">
        <v>16559</v>
      </c>
      <c r="B182" s="23" t="str">
        <f>HYPERLINK("http://sedek.ru/upload/iblock/5a2/perets_ryabinka.jpg","фото")</f>
        <v>фото</v>
      </c>
      <c r="C182" s="24"/>
      <c r="D182" s="24"/>
      <c r="E182" s="25" t="s">
        <v>217</v>
      </c>
      <c r="F182" s="25" t="s">
        <v>219</v>
      </c>
      <c r="G182" s="33">
        <v>0.05</v>
      </c>
      <c r="H182" s="25" t="s">
        <v>70</v>
      </c>
      <c r="I182" s="25" t="s">
        <v>71</v>
      </c>
      <c r="J182" s="27">
        <v>5000</v>
      </c>
      <c r="K182" s="28">
        <v>22.2</v>
      </c>
      <c r="L182" s="29"/>
      <c r="M182" s="29">
        <f>L182*K182</f>
        <v>0</v>
      </c>
      <c r="N182" s="30">
        <v>4607116269572</v>
      </c>
    </row>
    <row r="183" spans="1:14" ht="34.5" customHeight="1" outlineLevel="3">
      <c r="A183" s="46">
        <v>15433</v>
      </c>
      <c r="B183" s="47" t="str">
        <f>HYPERLINK("http://sedek.ru/upload/iblock/4f9/perets_samorodok_f1.jpg","фото")</f>
        <v>фото</v>
      </c>
      <c r="C183" s="48"/>
      <c r="D183" s="48"/>
      <c r="E183" s="49"/>
      <c r="F183" s="49" t="s">
        <v>220</v>
      </c>
      <c r="G183" s="50">
        <v>0.2</v>
      </c>
      <c r="H183" s="49" t="s">
        <v>70</v>
      </c>
      <c r="I183" s="49" t="s">
        <v>71</v>
      </c>
      <c r="J183" s="51">
        <v>4000</v>
      </c>
      <c r="K183" s="52">
        <v>17.8</v>
      </c>
      <c r="L183" s="53"/>
      <c r="M183" s="53">
        <f>L183*K183</f>
        <v>0</v>
      </c>
      <c r="N183" s="30">
        <v>4607015185225</v>
      </c>
    </row>
    <row r="184" spans="1:14" ht="12" customHeight="1" outlineLevel="2">
      <c r="A184" s="19"/>
      <c r="B184" s="20"/>
      <c r="C184" s="20"/>
      <c r="D184" s="20"/>
      <c r="E184" s="20"/>
      <c r="F184" s="20" t="s">
        <v>221</v>
      </c>
      <c r="G184" s="20"/>
      <c r="H184" s="20"/>
      <c r="I184" s="20"/>
      <c r="J184" s="20"/>
      <c r="K184" s="20"/>
      <c r="L184" s="20"/>
      <c r="M184" s="20"/>
      <c r="N184" s="21"/>
    </row>
    <row r="185" spans="1:14" ht="34.5" customHeight="1" outlineLevel="3">
      <c r="A185" s="32">
        <v>15261</v>
      </c>
      <c r="B185" s="23" t="str">
        <f>HYPERLINK("http://sedek.ru/upload/iblock/989/petrushka_lekar.jpg","фото")</f>
        <v>фото</v>
      </c>
      <c r="C185" s="24"/>
      <c r="D185" s="24"/>
      <c r="E185" s="25"/>
      <c r="F185" s="25" t="s">
        <v>222</v>
      </c>
      <c r="G185" s="26">
        <v>2</v>
      </c>
      <c r="H185" s="25" t="s">
        <v>70</v>
      </c>
      <c r="I185" s="25" t="s">
        <v>71</v>
      </c>
      <c r="J185" s="27">
        <v>2000</v>
      </c>
      <c r="K185" s="28">
        <v>16.1</v>
      </c>
      <c r="L185" s="29"/>
      <c r="M185" s="29">
        <f>L185*K185</f>
        <v>0</v>
      </c>
      <c r="N185" s="30">
        <v>4690368008891</v>
      </c>
    </row>
    <row r="186" spans="1:14" ht="12" customHeight="1" outlineLevel="2">
      <c r="A186" s="19"/>
      <c r="B186" s="20"/>
      <c r="C186" s="20"/>
      <c r="D186" s="20"/>
      <c r="E186" s="20"/>
      <c r="F186" s="20" t="s">
        <v>223</v>
      </c>
      <c r="G186" s="20"/>
      <c r="H186" s="20"/>
      <c r="I186" s="20"/>
      <c r="J186" s="20"/>
      <c r="K186" s="20"/>
      <c r="L186" s="20"/>
      <c r="M186" s="20"/>
      <c r="N186" s="21"/>
    </row>
    <row r="187" spans="1:14" ht="23.25" customHeight="1" outlineLevel="3">
      <c r="A187" s="32">
        <v>15874</v>
      </c>
      <c r="B187" s="23" t="str">
        <f>HYPERLINK("http://www.sedek.ru/upload/iblock/84d/borago_utro.jpg","фото")</f>
        <v>фото</v>
      </c>
      <c r="C187" s="24"/>
      <c r="D187" s="24"/>
      <c r="E187" s="25"/>
      <c r="F187" s="25" t="s">
        <v>224</v>
      </c>
      <c r="G187" s="31">
        <v>0.5</v>
      </c>
      <c r="H187" s="25" t="s">
        <v>70</v>
      </c>
      <c r="I187" s="25" t="s">
        <v>71</v>
      </c>
      <c r="J187" s="27">
        <v>1500</v>
      </c>
      <c r="K187" s="28">
        <v>16.1</v>
      </c>
      <c r="L187" s="29"/>
      <c r="M187" s="29">
        <f>L187*K187</f>
        <v>0</v>
      </c>
      <c r="N187" s="30">
        <v>4607116263419</v>
      </c>
    </row>
    <row r="188" spans="1:14" ht="34.5" customHeight="1" outlineLevel="3">
      <c r="A188" s="32">
        <v>15232</v>
      </c>
      <c r="B188" s="23" t="str">
        <f>HYPERLINK("http://sedek.ru/upload/iblock/5f5/gorchitsa_listovaya_zakusochnaya.jpg","фото")</f>
        <v>фото</v>
      </c>
      <c r="C188" s="24"/>
      <c r="D188" s="24"/>
      <c r="E188" s="25"/>
      <c r="F188" s="25" t="s">
        <v>225</v>
      </c>
      <c r="G188" s="26">
        <v>1</v>
      </c>
      <c r="H188" s="25" t="s">
        <v>70</v>
      </c>
      <c r="I188" s="25" t="s">
        <v>71</v>
      </c>
      <c r="J188" s="27">
        <v>2000</v>
      </c>
      <c r="K188" s="28">
        <v>16.1</v>
      </c>
      <c r="L188" s="29"/>
      <c r="M188" s="29">
        <f>L188*K188</f>
        <v>0</v>
      </c>
      <c r="N188" s="30">
        <v>4690368007825</v>
      </c>
    </row>
    <row r="189" spans="1:14" ht="45.75" customHeight="1" outlineLevel="3">
      <c r="A189" s="32">
        <v>14190</v>
      </c>
      <c r="B189" s="23" t="str">
        <f>HYPERLINK("http://sedek.ru/upload/iblock/6b3/zmeegolovnik_limonnyy_moldavskiy.jpg","фото")</f>
        <v>фото</v>
      </c>
      <c r="C189" s="24"/>
      <c r="D189" s="24"/>
      <c r="E189" s="25"/>
      <c r="F189" s="25" t="s">
        <v>226</v>
      </c>
      <c r="G189" s="31">
        <v>0.5</v>
      </c>
      <c r="H189" s="25" t="s">
        <v>70</v>
      </c>
      <c r="I189" s="25" t="s">
        <v>71</v>
      </c>
      <c r="J189" s="27">
        <v>3000</v>
      </c>
      <c r="K189" s="28">
        <v>16.1</v>
      </c>
      <c r="L189" s="29"/>
      <c r="M189" s="29">
        <f>L189*K189</f>
        <v>0</v>
      </c>
      <c r="N189" s="30">
        <v>4607015188783</v>
      </c>
    </row>
    <row r="190" spans="1:14" ht="45.75" customHeight="1" outlineLevel="3">
      <c r="A190" s="32">
        <v>14509</v>
      </c>
      <c r="B190" s="23" t="str">
        <f>HYPERLINK("http://sedek.ru/upload/iblock/c38/issop_lekarstvennyy_lekar.jpg","фото")</f>
        <v>фото</v>
      </c>
      <c r="C190" s="24"/>
      <c r="D190" s="24"/>
      <c r="E190" s="25"/>
      <c r="F190" s="25" t="s">
        <v>227</v>
      </c>
      <c r="G190" s="31">
        <v>0.2</v>
      </c>
      <c r="H190" s="25" t="s">
        <v>70</v>
      </c>
      <c r="I190" s="25" t="s">
        <v>71</v>
      </c>
      <c r="J190" s="27">
        <v>3000</v>
      </c>
      <c r="K190" s="28">
        <v>16.1</v>
      </c>
      <c r="L190" s="29"/>
      <c r="M190" s="29">
        <f>L190*K190</f>
        <v>0</v>
      </c>
      <c r="N190" s="30">
        <v>4690368008921</v>
      </c>
    </row>
    <row r="191" spans="1:14" ht="34.5" customHeight="1" outlineLevel="3">
      <c r="A191" s="32">
        <v>16132</v>
      </c>
      <c r="B191" s="23" t="str">
        <f>HYPERLINK("http://sedek.ru/upload/iblock/124/katran_stepnoy_akkord.jpg","фото")</f>
        <v>фото</v>
      </c>
      <c r="C191" s="24"/>
      <c r="D191" s="24"/>
      <c r="E191" s="25"/>
      <c r="F191" s="25" t="s">
        <v>228</v>
      </c>
      <c r="G191" s="31">
        <v>0.3</v>
      </c>
      <c r="H191" s="25" t="s">
        <v>70</v>
      </c>
      <c r="I191" s="25" t="s">
        <v>71</v>
      </c>
      <c r="J191" s="27">
        <v>1500</v>
      </c>
      <c r="K191" s="28">
        <v>16.1</v>
      </c>
      <c r="L191" s="29"/>
      <c r="M191" s="29">
        <f>L191*K191</f>
        <v>0</v>
      </c>
      <c r="N191" s="30">
        <v>4690368007399</v>
      </c>
    </row>
    <row r="192" spans="1:14" ht="34.5" customHeight="1" outlineLevel="3">
      <c r="A192" s="32">
        <v>15315</v>
      </c>
      <c r="B192" s="23" t="str">
        <f>HYPERLINK("http://sedek.ru/upload/iblock/1cd/klever_kruzhevo.jpg","фото")</f>
        <v>фото</v>
      </c>
      <c r="C192" s="24"/>
      <c r="D192" s="24"/>
      <c r="E192" s="25"/>
      <c r="F192" s="25" t="s">
        <v>229</v>
      </c>
      <c r="G192" s="26">
        <v>1</v>
      </c>
      <c r="H192" s="25" t="s">
        <v>70</v>
      </c>
      <c r="I192" s="25" t="s">
        <v>71</v>
      </c>
      <c r="J192" s="27">
        <v>2000</v>
      </c>
      <c r="K192" s="28">
        <v>16.1</v>
      </c>
      <c r="L192" s="29"/>
      <c r="M192" s="29">
        <f>L192*K192</f>
        <v>0</v>
      </c>
      <c r="N192" s="30">
        <v>4690368009553</v>
      </c>
    </row>
    <row r="193" spans="1:14" ht="34.5" customHeight="1" outlineLevel="3">
      <c r="A193" s="32">
        <v>15057</v>
      </c>
      <c r="B193" s="23" t="str">
        <f>HYPERLINK("http://sedek.ru/upload/iblock/cf0/melissa_tsitronella.jpg","фото")</f>
        <v>фото</v>
      </c>
      <c r="C193" s="24"/>
      <c r="D193" s="24"/>
      <c r="E193" s="25"/>
      <c r="F193" s="25" t="s">
        <v>230</v>
      </c>
      <c r="G193" s="33">
        <v>0.05</v>
      </c>
      <c r="H193" s="25" t="s">
        <v>70</v>
      </c>
      <c r="I193" s="25" t="s">
        <v>71</v>
      </c>
      <c r="J193" s="27">
        <v>5000</v>
      </c>
      <c r="K193" s="28">
        <v>16.1</v>
      </c>
      <c r="L193" s="29"/>
      <c r="M193" s="29">
        <f>L193*K193</f>
        <v>0</v>
      </c>
      <c r="N193" s="30">
        <v>4607149401697</v>
      </c>
    </row>
    <row r="194" spans="1:14" ht="23.25" customHeight="1" outlineLevel="3">
      <c r="A194" s="32">
        <v>15255</v>
      </c>
      <c r="B194" s="23" t="str">
        <f>HYPERLINK("http://sedek.ru/upload/iblock/bbb/pasternak_student.jpg","фото")</f>
        <v>фото</v>
      </c>
      <c r="C194" s="24" t="s">
        <v>95</v>
      </c>
      <c r="D194" s="24"/>
      <c r="E194" s="25"/>
      <c r="F194" s="25" t="s">
        <v>231</v>
      </c>
      <c r="G194" s="26">
        <v>1</v>
      </c>
      <c r="H194" s="25" t="s">
        <v>70</v>
      </c>
      <c r="I194" s="25" t="s">
        <v>71</v>
      </c>
      <c r="J194" s="27">
        <v>2500</v>
      </c>
      <c r="K194" s="28">
        <v>16.1</v>
      </c>
      <c r="L194" s="29"/>
      <c r="M194" s="29">
        <f>L194*K194</f>
        <v>0</v>
      </c>
      <c r="N194" s="30">
        <v>4607116266922</v>
      </c>
    </row>
    <row r="195" spans="1:14" ht="34.5" customHeight="1" outlineLevel="3">
      <c r="A195" s="32">
        <v>16218</v>
      </c>
      <c r="B195" s="23" t="str">
        <f>HYPERLINK("http://sedek.ru/upload/iblock/51c/portulak_ogorodnyy_svetlyachok.jpg","фото")</f>
        <v>фото</v>
      </c>
      <c r="C195" s="24"/>
      <c r="D195" s="24"/>
      <c r="E195" s="25"/>
      <c r="F195" s="25" t="s">
        <v>232</v>
      </c>
      <c r="G195" s="31">
        <v>0.1</v>
      </c>
      <c r="H195" s="25" t="s">
        <v>70</v>
      </c>
      <c r="I195" s="25" t="s">
        <v>71</v>
      </c>
      <c r="J195" s="27">
        <v>3000</v>
      </c>
      <c r="K195" s="28">
        <v>16.1</v>
      </c>
      <c r="L195" s="29"/>
      <c r="M195" s="29">
        <f>L195*K195</f>
        <v>0</v>
      </c>
      <c r="N195" s="30">
        <v>4690368008822</v>
      </c>
    </row>
    <row r="196" spans="1:14" ht="34.5" customHeight="1" outlineLevel="3">
      <c r="A196" s="32">
        <v>15784</v>
      </c>
      <c r="B196" s="23" t="str">
        <f>HYPERLINK("http://sedek.ru/upload/iblock/b75/skortsonera_lechebnyy.jpg","фото")</f>
        <v>фото</v>
      </c>
      <c r="C196" s="24"/>
      <c r="D196" s="24"/>
      <c r="E196" s="25"/>
      <c r="F196" s="25" t="s">
        <v>233</v>
      </c>
      <c r="G196" s="31">
        <v>0.5</v>
      </c>
      <c r="H196" s="25" t="s">
        <v>70</v>
      </c>
      <c r="I196" s="25" t="s">
        <v>71</v>
      </c>
      <c r="J196" s="27">
        <v>3000</v>
      </c>
      <c r="K196" s="28">
        <v>16.1</v>
      </c>
      <c r="L196" s="29"/>
      <c r="M196" s="29">
        <f>L196*K196</f>
        <v>0</v>
      </c>
      <c r="N196" s="30">
        <v>4690368008976</v>
      </c>
    </row>
    <row r="197" spans="1:14" ht="34.5" customHeight="1" outlineLevel="3">
      <c r="A197" s="32">
        <v>15575</v>
      </c>
      <c r="B197" s="23" t="str">
        <f>HYPERLINK("http://sedek.ru/upload/iblock/c12/skortsonera_chernyy_koren_tsygan.jpg","фото")</f>
        <v>фото</v>
      </c>
      <c r="C197" s="24"/>
      <c r="D197" s="24"/>
      <c r="E197" s="25"/>
      <c r="F197" s="25" t="s">
        <v>234</v>
      </c>
      <c r="G197" s="31">
        <v>0.5</v>
      </c>
      <c r="H197" s="25" t="s">
        <v>70</v>
      </c>
      <c r="I197" s="25" t="s">
        <v>71</v>
      </c>
      <c r="J197" s="27">
        <v>3000</v>
      </c>
      <c r="K197" s="28">
        <v>16.1</v>
      </c>
      <c r="L197" s="29"/>
      <c r="M197" s="29">
        <f>L197*K197</f>
        <v>0</v>
      </c>
      <c r="N197" s="30">
        <v>4607015188981</v>
      </c>
    </row>
    <row r="198" spans="1:14" ht="45.75" customHeight="1" outlineLevel="3">
      <c r="A198" s="32">
        <v>15802</v>
      </c>
      <c r="B198" s="23" t="str">
        <f>HYPERLINK("http://sedek.ru/upload/iblock/af1/chaber_perechnyy_aromat.jpg","фото")</f>
        <v>фото</v>
      </c>
      <c r="C198" s="24"/>
      <c r="D198" s="24"/>
      <c r="E198" s="25"/>
      <c r="F198" s="25" t="s">
        <v>235</v>
      </c>
      <c r="G198" s="31">
        <v>0.1</v>
      </c>
      <c r="H198" s="25" t="s">
        <v>70</v>
      </c>
      <c r="I198" s="25" t="s">
        <v>71</v>
      </c>
      <c r="J198" s="27">
        <v>4000</v>
      </c>
      <c r="K198" s="28">
        <v>16.1</v>
      </c>
      <c r="L198" s="29"/>
      <c r="M198" s="29">
        <f>L198*K198</f>
        <v>0</v>
      </c>
      <c r="N198" s="30">
        <v>4690368006095</v>
      </c>
    </row>
    <row r="199" spans="1:14" ht="12" customHeight="1" outlineLevel="2">
      <c r="A199" s="19"/>
      <c r="B199" s="20"/>
      <c r="C199" s="20"/>
      <c r="D199" s="20"/>
      <c r="E199" s="20"/>
      <c r="F199" s="20" t="s">
        <v>236</v>
      </c>
      <c r="G199" s="20"/>
      <c r="H199" s="20"/>
      <c r="I199" s="20"/>
      <c r="J199" s="20"/>
      <c r="K199" s="20"/>
      <c r="L199" s="20"/>
      <c r="M199" s="20"/>
      <c r="N199" s="21"/>
    </row>
    <row r="200" spans="1:14" ht="34.5" customHeight="1" outlineLevel="3">
      <c r="A200" s="32">
        <v>16981</v>
      </c>
      <c r="B200" s="23" t="str">
        <f>HYPERLINK("http://www.sedek.ru/upload/iblock/670/redis_azhur_f1.jpg","фото")</f>
        <v>фото</v>
      </c>
      <c r="C200" s="24"/>
      <c r="D200" s="24" t="s">
        <v>95</v>
      </c>
      <c r="E200" s="25" t="s">
        <v>237</v>
      </c>
      <c r="F200" s="25" t="s">
        <v>238</v>
      </c>
      <c r="G200" s="26">
        <v>2</v>
      </c>
      <c r="H200" s="25" t="s">
        <v>70</v>
      </c>
      <c r="I200" s="25" t="s">
        <v>71</v>
      </c>
      <c r="J200" s="27">
        <v>1500</v>
      </c>
      <c r="K200" s="28">
        <v>16.2</v>
      </c>
      <c r="L200" s="29"/>
      <c r="M200" s="29">
        <f>L200*K200</f>
        <v>0</v>
      </c>
      <c r="N200" s="30">
        <v>4690368025430</v>
      </c>
    </row>
    <row r="201" spans="1:14" ht="34.5" customHeight="1" outlineLevel="3">
      <c r="A201" s="32">
        <v>15973</v>
      </c>
      <c r="B201" s="23" t="str">
        <f>HYPERLINK("http://sedek.ru/upload/iblock/f7e/redis_anzhelika.jpg","фото")</f>
        <v>фото</v>
      </c>
      <c r="C201" s="24"/>
      <c r="D201" s="24"/>
      <c r="E201" s="25"/>
      <c r="F201" s="25" t="s">
        <v>239</v>
      </c>
      <c r="G201" s="26">
        <v>2</v>
      </c>
      <c r="H201" s="25" t="s">
        <v>70</v>
      </c>
      <c r="I201" s="25" t="s">
        <v>71</v>
      </c>
      <c r="J201" s="27">
        <v>1500</v>
      </c>
      <c r="K201" s="28">
        <v>16.1</v>
      </c>
      <c r="L201" s="29"/>
      <c r="M201" s="29">
        <f>L201*K201</f>
        <v>0</v>
      </c>
      <c r="N201" s="30">
        <v>4607015189049</v>
      </c>
    </row>
    <row r="202" spans="1:14" ht="23.25" customHeight="1" outlineLevel="3">
      <c r="A202" s="32">
        <v>14539</v>
      </c>
      <c r="B202" s="23" t="str">
        <f>HYPERLINK("http://sedek.ru/upload/iblock/c80/redis_baron.jpg","фото")</f>
        <v>фото</v>
      </c>
      <c r="C202" s="24"/>
      <c r="D202" s="24"/>
      <c r="E202" s="25"/>
      <c r="F202" s="25" t="s">
        <v>240</v>
      </c>
      <c r="G202" s="26">
        <v>2</v>
      </c>
      <c r="H202" s="25" t="s">
        <v>70</v>
      </c>
      <c r="I202" s="25" t="s">
        <v>71</v>
      </c>
      <c r="J202" s="27">
        <v>1500</v>
      </c>
      <c r="K202" s="28">
        <v>16.1</v>
      </c>
      <c r="L202" s="29"/>
      <c r="M202" s="29">
        <f>L202*K202</f>
        <v>0</v>
      </c>
      <c r="N202" s="30">
        <v>4607015189063</v>
      </c>
    </row>
    <row r="203" spans="1:14" ht="34.5" customHeight="1" outlineLevel="3">
      <c r="A203" s="32">
        <v>15423</v>
      </c>
      <c r="B203" s="23" t="str">
        <f>HYPERLINK("http://sedek.ru/upload/iblock/6c7/redis_karmen.jpg","фото")</f>
        <v>фото</v>
      </c>
      <c r="C203" s="24"/>
      <c r="D203" s="24"/>
      <c r="E203" s="25"/>
      <c r="F203" s="25" t="s">
        <v>241</v>
      </c>
      <c r="G203" s="26">
        <v>3</v>
      </c>
      <c r="H203" s="25" t="s">
        <v>70</v>
      </c>
      <c r="I203" s="25" t="s">
        <v>71</v>
      </c>
      <c r="J203" s="27">
        <v>1500</v>
      </c>
      <c r="K203" s="28">
        <v>21.6</v>
      </c>
      <c r="L203" s="29"/>
      <c r="M203" s="29">
        <f>L203*K203</f>
        <v>0</v>
      </c>
      <c r="N203" s="30">
        <v>4607015189087</v>
      </c>
    </row>
    <row r="204" spans="1:14" ht="23.25" customHeight="1" outlineLevel="3">
      <c r="A204" s="32">
        <v>15591</v>
      </c>
      <c r="B204" s="23" t="str">
        <f>HYPERLINK("http://www.sedek.ru/upload/iblock/cce/redis_mulatka.jpg","фото")</f>
        <v>фото</v>
      </c>
      <c r="C204" s="24"/>
      <c r="D204" s="24"/>
      <c r="E204" s="25"/>
      <c r="F204" s="25" t="s">
        <v>242</v>
      </c>
      <c r="G204" s="26">
        <v>2</v>
      </c>
      <c r="H204" s="25" t="s">
        <v>70</v>
      </c>
      <c r="I204" s="25" t="s">
        <v>71</v>
      </c>
      <c r="J204" s="27">
        <v>1500</v>
      </c>
      <c r="K204" s="28">
        <v>16.8</v>
      </c>
      <c r="L204" s="29"/>
      <c r="M204" s="29">
        <f>L204*K204</f>
        <v>0</v>
      </c>
      <c r="N204" s="30">
        <v>4607015189186</v>
      </c>
    </row>
    <row r="205" spans="1:14" ht="34.5" customHeight="1" outlineLevel="3">
      <c r="A205" s="32">
        <v>14850</v>
      </c>
      <c r="B205" s="23" t="str">
        <f>HYPERLINK("http://www.sedek.ru/upload/iblock/c28/redis_nota.jpg","фото")</f>
        <v>фото</v>
      </c>
      <c r="C205" s="24"/>
      <c r="D205" s="24"/>
      <c r="E205" s="25"/>
      <c r="F205" s="25" t="s">
        <v>243</v>
      </c>
      <c r="G205" s="26">
        <v>3</v>
      </c>
      <c r="H205" s="25" t="s">
        <v>70</v>
      </c>
      <c r="I205" s="25" t="s">
        <v>71</v>
      </c>
      <c r="J205" s="27">
        <v>1500</v>
      </c>
      <c r="K205" s="28">
        <v>16.1</v>
      </c>
      <c r="L205" s="29"/>
      <c r="M205" s="29">
        <f>L205*K205</f>
        <v>0</v>
      </c>
      <c r="N205" s="30">
        <v>4607015189193</v>
      </c>
    </row>
    <row r="206" spans="1:14" ht="34.5" customHeight="1" outlineLevel="3">
      <c r="A206" s="22" t="s">
        <v>244</v>
      </c>
      <c r="B206" s="23" t="str">
        <f>HYPERLINK("http://www.sedek.ru/upload/iblock/b56/redis_politez.jpg","Фото")</f>
        <v>Фото</v>
      </c>
      <c r="C206" s="24"/>
      <c r="D206" s="24"/>
      <c r="E206" s="25"/>
      <c r="F206" s="25" t="s">
        <v>245</v>
      </c>
      <c r="G206" s="26">
        <v>2</v>
      </c>
      <c r="H206" s="25" t="s">
        <v>70</v>
      </c>
      <c r="I206" s="25" t="s">
        <v>71</v>
      </c>
      <c r="J206" s="27">
        <v>1500</v>
      </c>
      <c r="K206" s="28">
        <v>16.1</v>
      </c>
      <c r="L206" s="29"/>
      <c r="M206" s="29">
        <f>L206*K206</f>
        <v>0</v>
      </c>
      <c r="N206" s="30">
        <v>4690368030465</v>
      </c>
    </row>
    <row r="207" spans="1:14" ht="23.25" customHeight="1" outlineLevel="3">
      <c r="A207" s="32">
        <v>13528</v>
      </c>
      <c r="B207" s="23" t="str">
        <f>HYPERLINK("http://sedek.ru/upload/iblock/642/redis_premer.jpg","фото")</f>
        <v>фото</v>
      </c>
      <c r="C207" s="24"/>
      <c r="D207" s="24"/>
      <c r="E207" s="25"/>
      <c r="F207" s="25" t="s">
        <v>246</v>
      </c>
      <c r="G207" s="26">
        <v>2</v>
      </c>
      <c r="H207" s="25" t="s">
        <v>70</v>
      </c>
      <c r="I207" s="25" t="s">
        <v>71</v>
      </c>
      <c r="J207" s="27">
        <v>1500</v>
      </c>
      <c r="K207" s="28">
        <v>16.1</v>
      </c>
      <c r="L207" s="29"/>
      <c r="M207" s="29">
        <f>L207*K207</f>
        <v>0</v>
      </c>
      <c r="N207" s="30">
        <v>4607015189209</v>
      </c>
    </row>
    <row r="208" spans="1:14" ht="34.5" customHeight="1" outlineLevel="3">
      <c r="A208" s="32">
        <v>16153</v>
      </c>
      <c r="B208" s="23" t="str">
        <f>HYPERLINK("http://sedek.ru/upload/iblock/387/redis_prints_datskiy.JPG","фото")</f>
        <v>фото</v>
      </c>
      <c r="C208" s="24"/>
      <c r="D208" s="24"/>
      <c r="E208" s="25"/>
      <c r="F208" s="25" t="s">
        <v>247</v>
      </c>
      <c r="G208" s="26">
        <v>2</v>
      </c>
      <c r="H208" s="25"/>
      <c r="I208" s="25" t="s">
        <v>71</v>
      </c>
      <c r="J208" s="27">
        <v>1500</v>
      </c>
      <c r="K208" s="28">
        <v>16.1</v>
      </c>
      <c r="L208" s="29"/>
      <c r="M208" s="29">
        <f>L208*K208</f>
        <v>0</v>
      </c>
      <c r="N208" s="30">
        <v>4607015189216</v>
      </c>
    </row>
    <row r="209" spans="1:14" ht="23.25" customHeight="1" outlineLevel="3">
      <c r="A209" s="32">
        <v>15204</v>
      </c>
      <c r="B209" s="23" t="str">
        <f>HYPERLINK("http://sedek.ru/upload/iblock/cc6/redis_rozovyy_s_belym_konchikom.jpg","фото")</f>
        <v>фото</v>
      </c>
      <c r="C209" s="24"/>
      <c r="D209" s="24"/>
      <c r="E209" s="25"/>
      <c r="F209" s="25" t="s">
        <v>248</v>
      </c>
      <c r="G209" s="26">
        <v>3</v>
      </c>
      <c r="H209" s="25" t="s">
        <v>70</v>
      </c>
      <c r="I209" s="25" t="s">
        <v>71</v>
      </c>
      <c r="J209" s="27">
        <v>1500</v>
      </c>
      <c r="K209" s="28">
        <v>16.1</v>
      </c>
      <c r="L209" s="29"/>
      <c r="M209" s="29">
        <f>L209*K209</f>
        <v>0</v>
      </c>
      <c r="N209" s="30">
        <v>4607149400942</v>
      </c>
    </row>
    <row r="210" spans="1:14" ht="34.5" customHeight="1" outlineLevel="3">
      <c r="A210" s="32">
        <v>15849</v>
      </c>
      <c r="B210" s="23" t="str">
        <f>HYPERLINK("http://www.sedek.ru/upload/iblock/39e/redis_rubin.jpg","фото")</f>
        <v>фото</v>
      </c>
      <c r="C210" s="24"/>
      <c r="D210" s="24"/>
      <c r="E210" s="25"/>
      <c r="F210" s="25" t="s">
        <v>249</v>
      </c>
      <c r="G210" s="26">
        <v>3</v>
      </c>
      <c r="H210" s="25" t="s">
        <v>70</v>
      </c>
      <c r="I210" s="25" t="s">
        <v>71</v>
      </c>
      <c r="J210" s="27">
        <v>1500</v>
      </c>
      <c r="K210" s="28">
        <v>13.9</v>
      </c>
      <c r="L210" s="29"/>
      <c r="M210" s="29">
        <f>L210*K210</f>
        <v>0</v>
      </c>
      <c r="N210" s="30">
        <v>4607015189223</v>
      </c>
    </row>
    <row r="211" spans="1:14" ht="34.5" customHeight="1" outlineLevel="3">
      <c r="A211" s="32">
        <v>15751</v>
      </c>
      <c r="B211" s="23" t="str">
        <f>HYPERLINK("http://sedek.ru/upload/iblock/f60/redis_saksa_rs.jpg","фото")</f>
        <v>фото</v>
      </c>
      <c r="C211" s="24"/>
      <c r="D211" s="24"/>
      <c r="E211" s="25"/>
      <c r="F211" s="25" t="s">
        <v>250</v>
      </c>
      <c r="G211" s="26">
        <v>3</v>
      </c>
      <c r="H211" s="25" t="s">
        <v>70</v>
      </c>
      <c r="I211" s="25" t="s">
        <v>71</v>
      </c>
      <c r="J211" s="27">
        <v>1500</v>
      </c>
      <c r="K211" s="28">
        <v>13.9</v>
      </c>
      <c r="L211" s="29"/>
      <c r="M211" s="29">
        <f>L211*K211</f>
        <v>0</v>
      </c>
      <c r="N211" s="30">
        <v>4607015189230</v>
      </c>
    </row>
    <row r="212" spans="1:14" ht="23.25" customHeight="1" outlineLevel="3">
      <c r="A212" s="32">
        <v>15613</v>
      </c>
      <c r="B212" s="23" t="str">
        <f>HYPERLINK("http://sedek.ru/upload/iblock/f28/redis_selyanka.jpg","фото")</f>
        <v>фото</v>
      </c>
      <c r="C212" s="24"/>
      <c r="D212" s="24"/>
      <c r="E212" s="25"/>
      <c r="F212" s="25" t="s">
        <v>251</v>
      </c>
      <c r="G212" s="26">
        <v>3</v>
      </c>
      <c r="H212" s="25" t="s">
        <v>70</v>
      </c>
      <c r="I212" s="25" t="s">
        <v>71</v>
      </c>
      <c r="J212" s="27">
        <v>1500</v>
      </c>
      <c r="K212" s="28">
        <v>16.1</v>
      </c>
      <c r="L212" s="29"/>
      <c r="M212" s="29">
        <f>L212*K212</f>
        <v>0</v>
      </c>
      <c r="N212" s="30">
        <v>4690368009591</v>
      </c>
    </row>
    <row r="213" spans="1:14" ht="34.5" customHeight="1" outlineLevel="3">
      <c r="A213" s="32">
        <v>14433</v>
      </c>
      <c r="B213" s="23" t="str">
        <f>HYPERLINK("http://www.sedek.ru/upload/iblock/715/redis_snezhnaya_koroleva.jpg","фото")</f>
        <v>фото</v>
      </c>
      <c r="C213" s="24"/>
      <c r="D213" s="24"/>
      <c r="E213" s="25"/>
      <c r="F213" s="25" t="s">
        <v>252</v>
      </c>
      <c r="G213" s="26">
        <v>3</v>
      </c>
      <c r="H213" s="25" t="s">
        <v>70</v>
      </c>
      <c r="I213" s="25" t="s">
        <v>71</v>
      </c>
      <c r="J213" s="27">
        <v>1500</v>
      </c>
      <c r="K213" s="28">
        <v>16.1</v>
      </c>
      <c r="L213" s="29"/>
      <c r="M213" s="29">
        <f>L213*K213</f>
        <v>0</v>
      </c>
      <c r="N213" s="30">
        <v>4607015189254</v>
      </c>
    </row>
    <row r="214" spans="1:14" ht="34.5" customHeight="1" outlineLevel="3">
      <c r="A214" s="32">
        <v>16090</v>
      </c>
      <c r="B214" s="23" t="str">
        <f>HYPERLINK("http://sedek.ru/upload/iblock/43e/redis_sosulka.jpg","фото")</f>
        <v>фото</v>
      </c>
      <c r="C214" s="24"/>
      <c r="D214" s="24"/>
      <c r="E214" s="25"/>
      <c r="F214" s="25" t="s">
        <v>253</v>
      </c>
      <c r="G214" s="26">
        <v>3</v>
      </c>
      <c r="H214" s="25" t="s">
        <v>70</v>
      </c>
      <c r="I214" s="25" t="s">
        <v>71</v>
      </c>
      <c r="J214" s="27">
        <v>1500</v>
      </c>
      <c r="K214" s="28">
        <v>15.2</v>
      </c>
      <c r="L214" s="29"/>
      <c r="M214" s="29">
        <f>L214*K214</f>
        <v>0</v>
      </c>
      <c r="N214" s="30">
        <v>4607015189179</v>
      </c>
    </row>
    <row r="215" spans="1:14" ht="34.5" customHeight="1" outlineLevel="3">
      <c r="A215" s="22" t="s">
        <v>254</v>
      </c>
      <c r="B215" s="23" t="str">
        <f>HYPERLINK("http://sedek.ru/upload/iblock/cc8/redis_superstar.jpg","фото")</f>
        <v>фото</v>
      </c>
      <c r="C215" s="24"/>
      <c r="D215" s="24"/>
      <c r="E215" s="25"/>
      <c r="F215" s="25" t="s">
        <v>255</v>
      </c>
      <c r="G215" s="26">
        <v>1</v>
      </c>
      <c r="H215" s="25" t="s">
        <v>70</v>
      </c>
      <c r="I215" s="25" t="s">
        <v>71</v>
      </c>
      <c r="J215" s="27">
        <v>1500</v>
      </c>
      <c r="K215" s="28">
        <v>16.5</v>
      </c>
      <c r="L215" s="29"/>
      <c r="M215" s="29">
        <f>L215*K215</f>
        <v>0</v>
      </c>
      <c r="N215" s="30">
        <v>4690368026499</v>
      </c>
    </row>
    <row r="216" spans="1:14" ht="34.5" customHeight="1" outlineLevel="3">
      <c r="A216" s="32">
        <v>14437</v>
      </c>
      <c r="B216" s="23" t="str">
        <f>HYPERLINK("http://sedek.ru/upload/iblock/99d/redis_syurpriz_tyeshchi.jpg","фото")</f>
        <v>фото</v>
      </c>
      <c r="C216" s="24"/>
      <c r="D216" s="24"/>
      <c r="E216" s="25"/>
      <c r="F216" s="25" t="s">
        <v>256</v>
      </c>
      <c r="G216" s="26">
        <v>3</v>
      </c>
      <c r="H216" s="25" t="s">
        <v>70</v>
      </c>
      <c r="I216" s="25" t="s">
        <v>71</v>
      </c>
      <c r="J216" s="27">
        <v>1500</v>
      </c>
      <c r="K216" s="28">
        <v>16.1</v>
      </c>
      <c r="L216" s="29"/>
      <c r="M216" s="29">
        <f>L216*K216</f>
        <v>0</v>
      </c>
      <c r="N216" s="30">
        <v>4690368007924</v>
      </c>
    </row>
    <row r="217" spans="1:14" ht="23.25" customHeight="1" outlineLevel="3">
      <c r="A217" s="32">
        <v>15717</v>
      </c>
      <c r="B217" s="23" t="str">
        <f>HYPERLINK("http://sedek.ru/upload/iblock/6dd/redis_tri_nedelki.jpg","фото")</f>
        <v>фото</v>
      </c>
      <c r="C217" s="24"/>
      <c r="D217" s="24"/>
      <c r="E217" s="25"/>
      <c r="F217" s="25" t="s">
        <v>257</v>
      </c>
      <c r="G217" s="26">
        <v>2</v>
      </c>
      <c r="H217" s="25" t="s">
        <v>70</v>
      </c>
      <c r="I217" s="25" t="s">
        <v>71</v>
      </c>
      <c r="J217" s="27">
        <v>1500</v>
      </c>
      <c r="K217" s="28">
        <v>16.1</v>
      </c>
      <c r="L217" s="29"/>
      <c r="M217" s="29">
        <f>L217*K217</f>
        <v>0</v>
      </c>
      <c r="N217" s="30">
        <v>4690368005920</v>
      </c>
    </row>
    <row r="218" spans="1:14" ht="23.25" customHeight="1" outlineLevel="3">
      <c r="A218" s="32">
        <v>15741</v>
      </c>
      <c r="B218" s="23" t="str">
        <f>HYPERLINK("http://sedek.ru/upload/iblock/e5e/redis_khrust.jpg","фото")</f>
        <v>фото</v>
      </c>
      <c r="C218" s="24"/>
      <c r="D218" s="24"/>
      <c r="E218" s="25"/>
      <c r="F218" s="25" t="s">
        <v>258</v>
      </c>
      <c r="G218" s="26">
        <v>2</v>
      </c>
      <c r="H218" s="25" t="s">
        <v>70</v>
      </c>
      <c r="I218" s="25" t="s">
        <v>71</v>
      </c>
      <c r="J218" s="27">
        <v>1500</v>
      </c>
      <c r="K218" s="28">
        <v>16.1</v>
      </c>
      <c r="L218" s="29"/>
      <c r="M218" s="29">
        <f>L218*K218</f>
        <v>0</v>
      </c>
      <c r="N218" s="30">
        <v>4607149403479</v>
      </c>
    </row>
    <row r="219" spans="1:14" ht="34.5" customHeight="1" outlineLevel="3">
      <c r="A219" s="32">
        <v>15310</v>
      </c>
      <c r="B219" s="23" t="str">
        <f>HYPERLINK("http://www.sedek.ru/upload/iblock/35c/redis_chempion.jpg","фото")</f>
        <v>фото</v>
      </c>
      <c r="C219" s="24"/>
      <c r="D219" s="24"/>
      <c r="E219" s="25"/>
      <c r="F219" s="25" t="s">
        <v>259</v>
      </c>
      <c r="G219" s="26">
        <v>3</v>
      </c>
      <c r="H219" s="25" t="s">
        <v>70</v>
      </c>
      <c r="I219" s="25" t="s">
        <v>71</v>
      </c>
      <c r="J219" s="27">
        <v>1500</v>
      </c>
      <c r="K219" s="28">
        <v>15.2</v>
      </c>
      <c r="L219" s="29"/>
      <c r="M219" s="29">
        <f>L219*K219</f>
        <v>0</v>
      </c>
      <c r="N219" s="30">
        <v>4607149400959</v>
      </c>
    </row>
    <row r="220" spans="1:14" ht="12" customHeight="1" outlineLevel="2">
      <c r="A220" s="19"/>
      <c r="B220" s="20"/>
      <c r="C220" s="20"/>
      <c r="D220" s="20"/>
      <c r="E220" s="20"/>
      <c r="F220" s="20" t="s">
        <v>260</v>
      </c>
      <c r="G220" s="20"/>
      <c r="H220" s="20"/>
      <c r="I220" s="20"/>
      <c r="J220" s="20"/>
      <c r="K220" s="20"/>
      <c r="L220" s="20"/>
      <c r="M220" s="20"/>
      <c r="N220" s="21"/>
    </row>
    <row r="221" spans="1:14" ht="23.25" customHeight="1" outlineLevel="3">
      <c r="A221" s="32">
        <v>16059</v>
      </c>
      <c r="B221" s="23" t="str">
        <f>HYPERLINK("http://sedek.ru/upload/iblock/889/redka_agata.jpg","фото")</f>
        <v>фото</v>
      </c>
      <c r="C221" s="24"/>
      <c r="D221" s="24"/>
      <c r="E221" s="25"/>
      <c r="F221" s="25" t="s">
        <v>261</v>
      </c>
      <c r="G221" s="26">
        <v>1</v>
      </c>
      <c r="H221" s="25" t="s">
        <v>70</v>
      </c>
      <c r="I221" s="25" t="s">
        <v>71</v>
      </c>
      <c r="J221" s="27">
        <v>1500</v>
      </c>
      <c r="K221" s="28">
        <v>16.1</v>
      </c>
      <c r="L221" s="29"/>
      <c r="M221" s="29">
        <f>L221*K221</f>
        <v>0</v>
      </c>
      <c r="N221" s="30">
        <v>4607015189322</v>
      </c>
    </row>
    <row r="222" spans="1:14" ht="23.25" customHeight="1" outlineLevel="3">
      <c r="A222" s="32">
        <v>14335</v>
      </c>
      <c r="B222" s="23" t="str">
        <f>HYPERLINK("http://www.sedek.ru/upload/iblock/4e2/redka_zimnyaya_kruglaya_chernaya.jpg","фото")</f>
        <v>фото</v>
      </c>
      <c r="C222" s="24"/>
      <c r="D222" s="24"/>
      <c r="E222" s="25"/>
      <c r="F222" s="25" t="s">
        <v>262</v>
      </c>
      <c r="G222" s="26">
        <v>1</v>
      </c>
      <c r="H222" s="25" t="s">
        <v>70</v>
      </c>
      <c r="I222" s="25" t="s">
        <v>71</v>
      </c>
      <c r="J222" s="27">
        <v>1500</v>
      </c>
      <c r="K222" s="28">
        <v>13.9</v>
      </c>
      <c r="L222" s="29"/>
      <c r="M222" s="29">
        <f>L222*K222</f>
        <v>0</v>
      </c>
      <c r="N222" s="30">
        <v>4607015189360</v>
      </c>
    </row>
    <row r="223" spans="1:14" ht="23.25" customHeight="1" outlineLevel="3">
      <c r="A223" s="32">
        <v>13486</v>
      </c>
      <c r="B223" s="23" t="str">
        <f>HYPERLINK("http://sedek.ru/upload/iblock/416/redka_mayskaya.jpg","фото")</f>
        <v>фото</v>
      </c>
      <c r="C223" s="24"/>
      <c r="D223" s="24"/>
      <c r="E223" s="25"/>
      <c r="F223" s="25" t="s">
        <v>263</v>
      </c>
      <c r="G223" s="26">
        <v>1</v>
      </c>
      <c r="H223" s="25" t="s">
        <v>70</v>
      </c>
      <c r="I223" s="25" t="s">
        <v>71</v>
      </c>
      <c r="J223" s="27">
        <v>1500</v>
      </c>
      <c r="K223" s="28">
        <v>16.1</v>
      </c>
      <c r="L223" s="29"/>
      <c r="M223" s="29">
        <f>L223*K223</f>
        <v>0</v>
      </c>
      <c r="N223" s="30">
        <v>4607149404896</v>
      </c>
    </row>
    <row r="224" spans="1:14" ht="23.25" customHeight="1" outlineLevel="3">
      <c r="A224" s="32">
        <v>15801</v>
      </c>
      <c r="B224" s="23" t="str">
        <f>HYPERLINK("http://www.sedek.ru/upload/iblock/228/redka_myunkhen_bir.jpg","фото")</f>
        <v>фото</v>
      </c>
      <c r="C224" s="24"/>
      <c r="D224" s="24"/>
      <c r="E224" s="25"/>
      <c r="F224" s="25" t="s">
        <v>264</v>
      </c>
      <c r="G224" s="26">
        <v>2</v>
      </c>
      <c r="H224" s="25" t="s">
        <v>70</v>
      </c>
      <c r="I224" s="25" t="s">
        <v>71</v>
      </c>
      <c r="J224" s="27">
        <v>1500</v>
      </c>
      <c r="K224" s="28">
        <v>16.1</v>
      </c>
      <c r="L224" s="29"/>
      <c r="M224" s="29">
        <f>L224*K224</f>
        <v>0</v>
      </c>
      <c r="N224" s="30">
        <v>4607149406302</v>
      </c>
    </row>
    <row r="225" spans="1:14" ht="23.25" customHeight="1" outlineLevel="3">
      <c r="A225" s="46">
        <v>16508</v>
      </c>
      <c r="B225" s="47" t="str">
        <f>HYPERLINK("http://sedek.ru/upload/iblock/1c8/redka_negrityanka.jpg","фото")</f>
        <v>фото</v>
      </c>
      <c r="C225" s="48"/>
      <c r="D225" s="48" t="s">
        <v>95</v>
      </c>
      <c r="E225" s="49"/>
      <c r="F225" s="49" t="s">
        <v>265</v>
      </c>
      <c r="G225" s="54">
        <v>1</v>
      </c>
      <c r="H225" s="49" t="s">
        <v>70</v>
      </c>
      <c r="I225" s="49" t="s">
        <v>71</v>
      </c>
      <c r="J225" s="51">
        <v>1500</v>
      </c>
      <c r="K225" s="52">
        <v>15.3</v>
      </c>
      <c r="L225" s="53"/>
      <c r="M225" s="53">
        <f>L225*K225</f>
        <v>0</v>
      </c>
      <c r="N225" s="30">
        <v>4607015189353</v>
      </c>
    </row>
    <row r="226" spans="1:14" ht="34.5" customHeight="1" outlineLevel="3">
      <c r="A226" s="32">
        <v>14275</v>
      </c>
      <c r="B226" s="23" t="str">
        <f>HYPERLINK("http://www.sedek.ru/upload/iblock/734/redka_start_f1.jpg","фото")</f>
        <v>фото</v>
      </c>
      <c r="C226" s="24"/>
      <c r="D226" s="24"/>
      <c r="E226" s="25"/>
      <c r="F226" s="25" t="s">
        <v>266</v>
      </c>
      <c r="G226" s="26">
        <v>1</v>
      </c>
      <c r="H226" s="25" t="s">
        <v>70</v>
      </c>
      <c r="I226" s="25" t="s">
        <v>71</v>
      </c>
      <c r="J226" s="27">
        <v>1500</v>
      </c>
      <c r="K226" s="28">
        <v>17.2</v>
      </c>
      <c r="L226" s="29"/>
      <c r="M226" s="29">
        <f>L226*K226</f>
        <v>0</v>
      </c>
      <c r="N226" s="30">
        <v>4607015189308</v>
      </c>
    </row>
    <row r="227" spans="1:14" ht="23.25" customHeight="1" outlineLevel="3">
      <c r="A227" s="32">
        <v>16985</v>
      </c>
      <c r="B227" s="23" t="str">
        <f>HYPERLINK("http://sedek.ru/upload/iblock/c08/redka_udacha_f1_kitayskaya_loba.jpg","фото")</f>
        <v>фото</v>
      </c>
      <c r="C227" s="24"/>
      <c r="D227" s="24"/>
      <c r="E227" s="25"/>
      <c r="F227" s="25" t="s">
        <v>267</v>
      </c>
      <c r="G227" s="26">
        <v>1</v>
      </c>
      <c r="H227" s="25" t="s">
        <v>70</v>
      </c>
      <c r="I227" s="25" t="s">
        <v>71</v>
      </c>
      <c r="J227" s="27">
        <v>1500</v>
      </c>
      <c r="K227" s="28">
        <v>18.6</v>
      </c>
      <c r="L227" s="29"/>
      <c r="M227" s="29">
        <f>L227*K227</f>
        <v>0</v>
      </c>
      <c r="N227" s="30">
        <v>4690368023979</v>
      </c>
    </row>
    <row r="228" spans="1:14" ht="23.25" customHeight="1" outlineLevel="3">
      <c r="A228" s="22" t="s">
        <v>268</v>
      </c>
      <c r="B228" s="23" t="str">
        <f>HYPERLINK("http://www.sedek.ru/upload/iblock/787/redka_chernavka.jpg","Фото")</f>
        <v>Фото</v>
      </c>
      <c r="C228" s="24"/>
      <c r="D228" s="24"/>
      <c r="E228" s="25"/>
      <c r="F228" s="25" t="s">
        <v>269</v>
      </c>
      <c r="G228" s="26">
        <v>1</v>
      </c>
      <c r="H228" s="25" t="s">
        <v>70</v>
      </c>
      <c r="I228" s="25" t="s">
        <v>71</v>
      </c>
      <c r="J228" s="27">
        <v>1500</v>
      </c>
      <c r="K228" s="28">
        <v>16.1</v>
      </c>
      <c r="L228" s="29"/>
      <c r="M228" s="29">
        <f>L228*K228</f>
        <v>0</v>
      </c>
      <c r="N228" s="30">
        <v>4690368030472</v>
      </c>
    </row>
    <row r="229" spans="1:14" ht="23.25" customHeight="1" outlineLevel="3">
      <c r="A229" s="32">
        <v>15727</v>
      </c>
      <c r="B229" s="23" t="str">
        <f>HYPERLINK("http://www.sedek.ru/upload/iblock/0ca/redka_esmeralda.jpg","фото")</f>
        <v>фото</v>
      </c>
      <c r="C229" s="24"/>
      <c r="D229" s="24"/>
      <c r="E229" s="25"/>
      <c r="F229" s="25" t="s">
        <v>270</v>
      </c>
      <c r="G229" s="26">
        <v>1</v>
      </c>
      <c r="H229" s="25" t="s">
        <v>70</v>
      </c>
      <c r="I229" s="25" t="s">
        <v>71</v>
      </c>
      <c r="J229" s="27">
        <v>1500</v>
      </c>
      <c r="K229" s="28">
        <v>16.1</v>
      </c>
      <c r="L229" s="29"/>
      <c r="M229" s="29">
        <f>L229*K229</f>
        <v>0</v>
      </c>
      <c r="N229" s="30">
        <v>4607015189315</v>
      </c>
    </row>
    <row r="230" spans="1:14" ht="12" customHeight="1" outlineLevel="2">
      <c r="A230" s="19"/>
      <c r="B230" s="20"/>
      <c r="C230" s="20"/>
      <c r="D230" s="20"/>
      <c r="E230" s="20"/>
      <c r="F230" s="20" t="s">
        <v>271</v>
      </c>
      <c r="G230" s="20"/>
      <c r="H230" s="20"/>
      <c r="I230" s="20"/>
      <c r="J230" s="20"/>
      <c r="K230" s="20"/>
      <c r="L230" s="20"/>
      <c r="M230" s="20"/>
      <c r="N230" s="21"/>
    </row>
    <row r="231" spans="1:14" ht="23.25" customHeight="1" outlineLevel="3">
      <c r="A231" s="22" t="s">
        <v>272</v>
      </c>
      <c r="B231" s="23" t="str">
        <f>HYPERLINK("http://www.sedek.ru/upload/iblock/b3c/repa_azhur.jpg","фото")</f>
        <v>фото</v>
      </c>
      <c r="C231" s="24"/>
      <c r="D231" s="24" t="s">
        <v>95</v>
      </c>
      <c r="E231" s="25" t="s">
        <v>237</v>
      </c>
      <c r="F231" s="25" t="s">
        <v>273</v>
      </c>
      <c r="G231" s="26">
        <v>1</v>
      </c>
      <c r="H231" s="25" t="s">
        <v>70</v>
      </c>
      <c r="I231" s="25" t="s">
        <v>71</v>
      </c>
      <c r="J231" s="27">
        <v>1500</v>
      </c>
      <c r="K231" s="28">
        <v>15.2</v>
      </c>
      <c r="L231" s="29"/>
      <c r="M231" s="29">
        <f>L231*K231</f>
        <v>0</v>
      </c>
      <c r="N231" s="30">
        <v>4690368035163</v>
      </c>
    </row>
    <row r="232" spans="1:14" ht="23.25" customHeight="1" outlineLevel="3">
      <c r="A232" s="32">
        <v>14748</v>
      </c>
      <c r="B232" s="23" t="str">
        <f>HYPERLINK("http://www.sedek.ru/upload/iblock/194/repa_zolotoy_shar.jpg","фото")</f>
        <v>фото</v>
      </c>
      <c r="C232" s="24"/>
      <c r="D232" s="24"/>
      <c r="E232" s="25"/>
      <c r="F232" s="25" t="s">
        <v>274</v>
      </c>
      <c r="G232" s="26">
        <v>1</v>
      </c>
      <c r="H232" s="25" t="s">
        <v>70</v>
      </c>
      <c r="I232" s="25" t="s">
        <v>71</v>
      </c>
      <c r="J232" s="27">
        <v>1500</v>
      </c>
      <c r="K232" s="28">
        <v>15.2</v>
      </c>
      <c r="L232" s="29"/>
      <c r="M232" s="29">
        <f>L232*K232</f>
        <v>0</v>
      </c>
      <c r="N232" s="30">
        <v>4607149400027</v>
      </c>
    </row>
    <row r="233" spans="1:14" ht="12" customHeight="1" outlineLevel="2">
      <c r="A233" s="19"/>
      <c r="B233" s="20"/>
      <c r="C233" s="20"/>
      <c r="D233" s="20"/>
      <c r="E233" s="20"/>
      <c r="F233" s="20" t="s">
        <v>275</v>
      </c>
      <c r="G233" s="20"/>
      <c r="H233" s="20"/>
      <c r="I233" s="20"/>
      <c r="J233" s="20"/>
      <c r="K233" s="20"/>
      <c r="L233" s="20"/>
      <c r="M233" s="20"/>
      <c r="N233" s="21"/>
    </row>
    <row r="234" spans="1:14" ht="23.25" customHeight="1" outlineLevel="3">
      <c r="A234" s="46">
        <v>14665</v>
      </c>
      <c r="B234" s="47" t="str">
        <f>HYPERLINK("http://sedek.ru/upload/iblock/dcb/svekla_donna.jpg","фото")</f>
        <v>фото</v>
      </c>
      <c r="C234" s="48"/>
      <c r="D234" s="48"/>
      <c r="E234" s="49"/>
      <c r="F234" s="49" t="s">
        <v>276</v>
      </c>
      <c r="G234" s="54">
        <v>3</v>
      </c>
      <c r="H234" s="49" t="s">
        <v>70</v>
      </c>
      <c r="I234" s="49" t="s">
        <v>71</v>
      </c>
      <c r="J234" s="54">
        <v>800</v>
      </c>
      <c r="K234" s="52">
        <v>15.4</v>
      </c>
      <c r="L234" s="53"/>
      <c r="M234" s="53">
        <f>L234*K234</f>
        <v>0</v>
      </c>
      <c r="N234" s="30">
        <v>4607015189650</v>
      </c>
    </row>
    <row r="235" spans="1:14" ht="34.5" customHeight="1" outlineLevel="3">
      <c r="A235" s="32">
        <v>15559</v>
      </c>
      <c r="B235" s="23" t="str">
        <f>HYPERLINK("http://www.sedek.ru/upload/iblock/23f/svekla_egipetskaya_ploskaya.jpg","фото")</f>
        <v>фото</v>
      </c>
      <c r="C235" s="24"/>
      <c r="D235" s="24"/>
      <c r="E235" s="25"/>
      <c r="F235" s="25" t="s">
        <v>277</v>
      </c>
      <c r="G235" s="26">
        <v>3</v>
      </c>
      <c r="H235" s="25" t="s">
        <v>70</v>
      </c>
      <c r="I235" s="25" t="s">
        <v>71</v>
      </c>
      <c r="J235" s="26">
        <v>800</v>
      </c>
      <c r="K235" s="28">
        <v>15.2</v>
      </c>
      <c r="L235" s="29"/>
      <c r="M235" s="29">
        <f>L235*K235</f>
        <v>0</v>
      </c>
      <c r="N235" s="30">
        <v>4607015189667</v>
      </c>
    </row>
    <row r="236" spans="1:14" ht="34.5" customHeight="1" outlineLevel="3">
      <c r="A236" s="32">
        <v>15600</v>
      </c>
      <c r="B236" s="23" t="str">
        <f>HYPERLINK("http://sedek.ru/upload/iblock/f9f/svekla_krosbi.jpg","фото")</f>
        <v>фото</v>
      </c>
      <c r="C236" s="24"/>
      <c r="D236" s="24"/>
      <c r="E236" s="25"/>
      <c r="F236" s="25" t="s">
        <v>278</v>
      </c>
      <c r="G236" s="26">
        <v>3</v>
      </c>
      <c r="H236" s="25" t="s">
        <v>70</v>
      </c>
      <c r="I236" s="25" t="s">
        <v>71</v>
      </c>
      <c r="J236" s="26">
        <v>800</v>
      </c>
      <c r="K236" s="28">
        <v>16.1</v>
      </c>
      <c r="L236" s="29"/>
      <c r="M236" s="29">
        <f>L236*K236</f>
        <v>0</v>
      </c>
      <c r="N236" s="30">
        <v>4607015189704</v>
      </c>
    </row>
    <row r="237" spans="1:14" ht="34.5" customHeight="1" outlineLevel="3">
      <c r="A237" s="32">
        <v>15683</v>
      </c>
      <c r="B237" s="23" t="str">
        <f>HYPERLINK("http://sedek.ru/upload/iblock/9c0/svekla_matrona_sedek.jpg","фото")</f>
        <v>фото</v>
      </c>
      <c r="C237" s="24"/>
      <c r="D237" s="24"/>
      <c r="E237" s="25"/>
      <c r="F237" s="25" t="s">
        <v>279</v>
      </c>
      <c r="G237" s="26">
        <v>3</v>
      </c>
      <c r="H237" s="25" t="s">
        <v>70</v>
      </c>
      <c r="I237" s="25" t="s">
        <v>71</v>
      </c>
      <c r="J237" s="26">
        <v>800</v>
      </c>
      <c r="K237" s="28">
        <v>16.1</v>
      </c>
      <c r="L237" s="29"/>
      <c r="M237" s="29">
        <f>L237*K237</f>
        <v>0</v>
      </c>
      <c r="N237" s="30">
        <v>4607015189728</v>
      </c>
    </row>
    <row r="238" spans="1:14" ht="34.5" customHeight="1" outlineLevel="3">
      <c r="A238" s="22" t="s">
        <v>280</v>
      </c>
      <c r="B238" s="23" t="str">
        <f>HYPERLINK("http://sedek.ru/upload/iblock/132/svekla_milana_f1.jpg","фото")</f>
        <v>фото</v>
      </c>
      <c r="C238" s="24"/>
      <c r="D238" s="24"/>
      <c r="E238" s="25"/>
      <c r="F238" s="25" t="s">
        <v>281</v>
      </c>
      <c r="G238" s="26">
        <v>1</v>
      </c>
      <c r="H238" s="25" t="s">
        <v>70</v>
      </c>
      <c r="I238" s="25" t="s">
        <v>71</v>
      </c>
      <c r="J238" s="26">
        <v>800</v>
      </c>
      <c r="K238" s="28">
        <v>16.1</v>
      </c>
      <c r="L238" s="29"/>
      <c r="M238" s="29">
        <f>L238*K238</f>
        <v>0</v>
      </c>
      <c r="N238" s="30">
        <v>4690368026659</v>
      </c>
    </row>
    <row r="239" spans="1:14" ht="23.25" customHeight="1" outlineLevel="3">
      <c r="A239" s="32">
        <v>14746</v>
      </c>
      <c r="B239" s="23" t="str">
        <f>HYPERLINK("http://sedek.ru/upload/iblock/888/svekla_odnorostkovaya.JPG","фото")</f>
        <v>фото</v>
      </c>
      <c r="C239" s="24"/>
      <c r="D239" s="24"/>
      <c r="E239" s="25"/>
      <c r="F239" s="25" t="s">
        <v>282</v>
      </c>
      <c r="G239" s="26">
        <v>3</v>
      </c>
      <c r="H239" s="25" t="s">
        <v>70</v>
      </c>
      <c r="I239" s="25" t="s">
        <v>71</v>
      </c>
      <c r="J239" s="26">
        <v>800</v>
      </c>
      <c r="K239" s="28">
        <v>16.1</v>
      </c>
      <c r="L239" s="29"/>
      <c r="M239" s="29">
        <f>L239*K239</f>
        <v>0</v>
      </c>
      <c r="N239" s="30">
        <v>4607116267905</v>
      </c>
    </row>
    <row r="240" spans="1:14" ht="34.5" customHeight="1" outlineLevel="3">
      <c r="A240" s="32">
        <v>14451</v>
      </c>
      <c r="B240" s="23" t="str">
        <f>HYPERLINK("http://www.sedek.ru/upload/iblock/7e9/svekla_pervyy_urozhay.jpg","фото")</f>
        <v>фото</v>
      </c>
      <c r="C240" s="24"/>
      <c r="D240" s="24"/>
      <c r="E240" s="25"/>
      <c r="F240" s="25" t="s">
        <v>283</v>
      </c>
      <c r="G240" s="26">
        <v>3</v>
      </c>
      <c r="H240" s="25" t="s">
        <v>70</v>
      </c>
      <c r="I240" s="25" t="s">
        <v>71</v>
      </c>
      <c r="J240" s="26">
        <v>800</v>
      </c>
      <c r="K240" s="28">
        <v>15.7</v>
      </c>
      <c r="L240" s="29"/>
      <c r="M240" s="29">
        <f>L240*K240</f>
        <v>0</v>
      </c>
      <c r="N240" s="30">
        <v>4607149403639</v>
      </c>
    </row>
    <row r="241" spans="1:14" ht="34.5" customHeight="1" outlineLevel="3">
      <c r="A241" s="32">
        <v>16151</v>
      </c>
      <c r="B241" s="23" t="str">
        <f>HYPERLINK("http://sedek.ru/upload/iblock/0bf/svekla_salatnaya.jpg","фото")</f>
        <v>фото</v>
      </c>
      <c r="C241" s="24"/>
      <c r="D241" s="24"/>
      <c r="E241" s="25"/>
      <c r="F241" s="25" t="s">
        <v>284</v>
      </c>
      <c r="G241" s="26">
        <v>3</v>
      </c>
      <c r="H241" s="25" t="s">
        <v>70</v>
      </c>
      <c r="I241" s="25" t="s">
        <v>71</v>
      </c>
      <c r="J241" s="26">
        <v>800</v>
      </c>
      <c r="K241" s="28">
        <v>16.1</v>
      </c>
      <c r="L241" s="29"/>
      <c r="M241" s="29">
        <f>L241*K241</f>
        <v>0</v>
      </c>
      <c r="N241" s="30">
        <v>4690368008051</v>
      </c>
    </row>
    <row r="242" spans="1:14" ht="34.5" customHeight="1" outlineLevel="3">
      <c r="A242" s="32">
        <v>15190</v>
      </c>
      <c r="B242" s="23" t="str">
        <f>HYPERLINK("http://sedek.ru/upload/iblock/d3b/svekla_khavskaya.jpg","фото")</f>
        <v>фото</v>
      </c>
      <c r="C242" s="24"/>
      <c r="D242" s="24"/>
      <c r="E242" s="25"/>
      <c r="F242" s="25" t="s">
        <v>285</v>
      </c>
      <c r="G242" s="26">
        <v>3</v>
      </c>
      <c r="H242" s="25" t="s">
        <v>70</v>
      </c>
      <c r="I242" s="25" t="s">
        <v>71</v>
      </c>
      <c r="J242" s="26">
        <v>800</v>
      </c>
      <c r="K242" s="28">
        <v>15.2</v>
      </c>
      <c r="L242" s="29"/>
      <c r="M242" s="29">
        <f>L242*K242</f>
        <v>0</v>
      </c>
      <c r="N242" s="30">
        <v>4690368009027</v>
      </c>
    </row>
    <row r="243" spans="1:14" ht="12" customHeight="1" outlineLevel="2">
      <c r="A243" s="19"/>
      <c r="B243" s="20"/>
      <c r="C243" s="20"/>
      <c r="D243" s="20"/>
      <c r="E243" s="20"/>
      <c r="F243" s="20" t="s">
        <v>286</v>
      </c>
      <c r="G243" s="20"/>
      <c r="H243" s="20"/>
      <c r="I243" s="20"/>
      <c r="J243" s="20"/>
      <c r="K243" s="20"/>
      <c r="L243" s="20"/>
      <c r="M243" s="20"/>
      <c r="N243" s="21"/>
    </row>
    <row r="244" spans="1:14" ht="23.25" customHeight="1" outlineLevel="3">
      <c r="A244" s="32">
        <v>17003</v>
      </c>
      <c r="B244" s="23" t="str">
        <f>HYPERLINK("http://www.sedek.ru/upload/iblock/c30/tomat_alekseevna_f1.jpg","фото")</f>
        <v>фото</v>
      </c>
      <c r="C244" s="24"/>
      <c r="D244" s="24"/>
      <c r="E244" s="25"/>
      <c r="F244" s="25" t="s">
        <v>287</v>
      </c>
      <c r="G244" s="33">
        <v>0.05</v>
      </c>
      <c r="H244" s="25" t="s">
        <v>70</v>
      </c>
      <c r="I244" s="25" t="s">
        <v>71</v>
      </c>
      <c r="J244" s="27">
        <v>5000</v>
      </c>
      <c r="K244" s="28">
        <v>25.6</v>
      </c>
      <c r="L244" s="29"/>
      <c r="M244" s="29">
        <f>L244*K244</f>
        <v>0</v>
      </c>
      <c r="N244" s="30">
        <v>4690368024013</v>
      </c>
    </row>
    <row r="245" spans="1:14" ht="23.25" customHeight="1" outlineLevel="3">
      <c r="A245" s="32">
        <v>14717</v>
      </c>
      <c r="B245" s="23" t="str">
        <f>HYPERLINK("http://sedek.ru/upload/iblock/c1a/tomat_andromeda_f1.jpg","фото")</f>
        <v>фото</v>
      </c>
      <c r="C245" s="24"/>
      <c r="D245" s="24"/>
      <c r="E245" s="25"/>
      <c r="F245" s="25" t="s">
        <v>288</v>
      </c>
      <c r="G245" s="33">
        <v>0.05</v>
      </c>
      <c r="H245" s="25" t="s">
        <v>70</v>
      </c>
      <c r="I245" s="25" t="s">
        <v>71</v>
      </c>
      <c r="J245" s="27">
        <v>5000</v>
      </c>
      <c r="K245" s="28">
        <v>17.8</v>
      </c>
      <c r="L245" s="29"/>
      <c r="M245" s="29">
        <f>L245*K245</f>
        <v>0</v>
      </c>
      <c r="N245" s="30">
        <v>4607015184563</v>
      </c>
    </row>
    <row r="246" spans="1:14" ht="23.25" customHeight="1" outlineLevel="3">
      <c r="A246" s="32">
        <v>15886</v>
      </c>
      <c r="B246" s="23" t="str">
        <f>HYPERLINK("http://sedek.ru/upload/iblock/35f/tomat_artist_f1.jpg","фото")</f>
        <v>фото</v>
      </c>
      <c r="C246" s="24"/>
      <c r="D246" s="24" t="s">
        <v>95</v>
      </c>
      <c r="E246" s="25"/>
      <c r="F246" s="25" t="s">
        <v>289</v>
      </c>
      <c r="G246" s="33">
        <v>0.05</v>
      </c>
      <c r="H246" s="25" t="s">
        <v>70</v>
      </c>
      <c r="I246" s="25" t="s">
        <v>71</v>
      </c>
      <c r="J246" s="27">
        <v>5000</v>
      </c>
      <c r="K246" s="28">
        <v>30.1</v>
      </c>
      <c r="L246" s="29"/>
      <c r="M246" s="29">
        <f>L246*K246</f>
        <v>0</v>
      </c>
      <c r="N246" s="30">
        <v>4607015184662</v>
      </c>
    </row>
    <row r="247" spans="1:14" ht="23.25" customHeight="1" outlineLevel="3">
      <c r="A247" s="22" t="s">
        <v>290</v>
      </c>
      <c r="B247" s="23" t="str">
        <f>HYPERLINK("http://sedek.ru/upload/iblock/86f/tomat_blagorodnyy_prints.jpg","фото")</f>
        <v>фото</v>
      </c>
      <c r="C247" s="24"/>
      <c r="D247" s="24"/>
      <c r="E247" s="25"/>
      <c r="F247" s="25" t="s">
        <v>291</v>
      </c>
      <c r="G247" s="31">
        <v>0.1</v>
      </c>
      <c r="H247" s="25" t="s">
        <v>70</v>
      </c>
      <c r="I247" s="25" t="s">
        <v>71</v>
      </c>
      <c r="J247" s="27">
        <v>4000</v>
      </c>
      <c r="K247" s="28">
        <v>16.1</v>
      </c>
      <c r="L247" s="29"/>
      <c r="M247" s="29">
        <f>L247*K247</f>
        <v>0</v>
      </c>
      <c r="N247" s="30">
        <v>4607015189759</v>
      </c>
    </row>
    <row r="248" spans="1:14" ht="23.25" customHeight="1" outlineLevel="3">
      <c r="A248" s="22" t="s">
        <v>292</v>
      </c>
      <c r="B248" s="23" t="str">
        <f>HYPERLINK("http://sedek.ru/upload/iblock/760/tomat_boyarynya_f1.jpg","фото")</f>
        <v>фото</v>
      </c>
      <c r="C248" s="24"/>
      <c r="D248" s="24"/>
      <c r="E248" s="25"/>
      <c r="F248" s="25" t="s">
        <v>293</v>
      </c>
      <c r="G248" s="33">
        <v>0.05</v>
      </c>
      <c r="H248" s="25" t="s">
        <v>70</v>
      </c>
      <c r="I248" s="25" t="s">
        <v>71</v>
      </c>
      <c r="J248" s="27">
        <v>5000</v>
      </c>
      <c r="K248" s="28">
        <v>17.2</v>
      </c>
      <c r="L248" s="29"/>
      <c r="M248" s="29">
        <f>L248*K248</f>
        <v>0</v>
      </c>
      <c r="N248" s="30">
        <v>4607015185249</v>
      </c>
    </row>
    <row r="249" spans="1:14" ht="23.25" customHeight="1" outlineLevel="3">
      <c r="A249" s="22" t="s">
        <v>294</v>
      </c>
      <c r="B249" s="23" t="str">
        <f>HYPERLINK("http://sedek.ru/upload/iblock/d29/tomat_bumbarash_f1.jpg","фото")</f>
        <v>фото</v>
      </c>
      <c r="C249" s="24"/>
      <c r="D249" s="24" t="s">
        <v>95</v>
      </c>
      <c r="E249" s="25"/>
      <c r="F249" s="25" t="s">
        <v>295</v>
      </c>
      <c r="G249" s="33">
        <v>0.05</v>
      </c>
      <c r="H249" s="25" t="s">
        <v>70</v>
      </c>
      <c r="I249" s="25" t="s">
        <v>71</v>
      </c>
      <c r="J249" s="27">
        <v>5000</v>
      </c>
      <c r="K249" s="28">
        <v>22.7</v>
      </c>
      <c r="L249" s="29"/>
      <c r="M249" s="29">
        <f>L249*K249</f>
        <v>0</v>
      </c>
      <c r="N249" s="30">
        <v>4607015185256</v>
      </c>
    </row>
    <row r="250" spans="1:14" ht="23.25" customHeight="1" outlineLevel="3">
      <c r="A250" s="22" t="s">
        <v>296</v>
      </c>
      <c r="B250" s="23" t="str">
        <f>HYPERLINK("http://sedek.ru/upload/iblock/e12/tomat_burzhuin_f1.jpg","фото")</f>
        <v>фото</v>
      </c>
      <c r="C250" s="24"/>
      <c r="D250" s="24"/>
      <c r="E250" s="25"/>
      <c r="F250" s="25" t="s">
        <v>297</v>
      </c>
      <c r="G250" s="33">
        <v>0.05</v>
      </c>
      <c r="H250" s="25" t="s">
        <v>70</v>
      </c>
      <c r="I250" s="25" t="s">
        <v>71</v>
      </c>
      <c r="J250" s="27">
        <v>5000</v>
      </c>
      <c r="K250" s="28">
        <v>29.4</v>
      </c>
      <c r="L250" s="29"/>
      <c r="M250" s="29">
        <f>L250*K250</f>
        <v>0</v>
      </c>
      <c r="N250" s="30">
        <v>4690368026116</v>
      </c>
    </row>
    <row r="251" spans="1:14" ht="23.25" customHeight="1" outlineLevel="3">
      <c r="A251" s="22" t="s">
        <v>298</v>
      </c>
      <c r="B251" s="23" t="str">
        <f>HYPERLINK("http://www.sedek.ru/upload/iblock/5c1/tomat_butuz.jpg","фото")</f>
        <v>фото</v>
      </c>
      <c r="C251" s="24"/>
      <c r="D251" s="24"/>
      <c r="E251" s="25"/>
      <c r="F251" s="25" t="s">
        <v>299</v>
      </c>
      <c r="G251" s="31">
        <v>0.1</v>
      </c>
      <c r="H251" s="25" t="s">
        <v>70</v>
      </c>
      <c r="I251" s="25" t="s">
        <v>71</v>
      </c>
      <c r="J251" s="27">
        <v>4000</v>
      </c>
      <c r="K251" s="28">
        <v>16.1</v>
      </c>
      <c r="L251" s="29"/>
      <c r="M251" s="29">
        <f>L251*K251</f>
        <v>0</v>
      </c>
      <c r="N251" s="30">
        <v>4607015189780</v>
      </c>
    </row>
    <row r="252" spans="1:14" ht="23.25" customHeight="1" outlineLevel="3">
      <c r="A252" s="32">
        <v>15606</v>
      </c>
      <c r="B252" s="23" t="str">
        <f>HYPERLINK("http://sedek.ru/upload/iblock/67f/tomat_vesna_severa_f1.JPG","фото")</f>
        <v>фото</v>
      </c>
      <c r="C252" s="24"/>
      <c r="D252" s="24" t="s">
        <v>95</v>
      </c>
      <c r="E252" s="25" t="s">
        <v>300</v>
      </c>
      <c r="F252" s="25" t="s">
        <v>301</v>
      </c>
      <c r="G252" s="33">
        <v>0.05</v>
      </c>
      <c r="H252" s="25" t="s">
        <v>70</v>
      </c>
      <c r="I252" s="25" t="s">
        <v>71</v>
      </c>
      <c r="J252" s="27">
        <v>5000</v>
      </c>
      <c r="K252" s="28">
        <v>27.6</v>
      </c>
      <c r="L252" s="29"/>
      <c r="M252" s="29">
        <f>L252*K252</f>
        <v>0</v>
      </c>
      <c r="N252" s="30">
        <v>4690368010924</v>
      </c>
    </row>
    <row r="253" spans="1:14" ht="34.5" customHeight="1" outlineLevel="3">
      <c r="A253" s="22" t="s">
        <v>302</v>
      </c>
      <c r="B253" s="23" t="str">
        <f>HYPERLINK("http://sedek.ru/upload/iblock/5c2/tomat_vladimir_velikiy_f1.jpg","фото")</f>
        <v>фото</v>
      </c>
      <c r="C253" s="24"/>
      <c r="D253" s="24" t="s">
        <v>95</v>
      </c>
      <c r="E253" s="25"/>
      <c r="F253" s="25" t="s">
        <v>303</v>
      </c>
      <c r="G253" s="33">
        <v>0.03</v>
      </c>
      <c r="H253" s="25" t="s">
        <v>70</v>
      </c>
      <c r="I253" s="25" t="s">
        <v>71</v>
      </c>
      <c r="J253" s="27">
        <v>5000</v>
      </c>
      <c r="K253" s="28">
        <v>38.7</v>
      </c>
      <c r="L253" s="29"/>
      <c r="M253" s="29">
        <f>L253*K253</f>
        <v>0</v>
      </c>
      <c r="N253" s="30">
        <v>4690368027472</v>
      </c>
    </row>
    <row r="254" spans="1:14" ht="34.5" customHeight="1" outlineLevel="3">
      <c r="A254" s="32">
        <v>15633</v>
      </c>
      <c r="B254" s="23" t="str">
        <f>HYPERLINK("http://sedek.ru/upload/iblock/3ce/tomat_volgogradskiy_5_95.jpg","фото")</f>
        <v>фото</v>
      </c>
      <c r="C254" s="24"/>
      <c r="D254" s="24"/>
      <c r="E254" s="25"/>
      <c r="F254" s="25" t="s">
        <v>304</v>
      </c>
      <c r="G254" s="31">
        <v>0.1</v>
      </c>
      <c r="H254" s="25" t="s">
        <v>70</v>
      </c>
      <c r="I254" s="25" t="s">
        <v>71</v>
      </c>
      <c r="J254" s="27">
        <v>4000</v>
      </c>
      <c r="K254" s="28">
        <v>13.9</v>
      </c>
      <c r="L254" s="29"/>
      <c r="M254" s="29">
        <f>L254*K254</f>
        <v>0</v>
      </c>
      <c r="N254" s="30">
        <v>4690368015882</v>
      </c>
    </row>
    <row r="255" spans="1:14" ht="23.25" customHeight="1" outlineLevel="3">
      <c r="A255" s="32">
        <v>14786</v>
      </c>
      <c r="B255" s="23" t="str">
        <f>HYPERLINK("http://www.sedek.ru/upload/iblock/c43/tomat_geya.jpg","фото")</f>
        <v>фото</v>
      </c>
      <c r="C255" s="24"/>
      <c r="D255" s="24"/>
      <c r="E255" s="25" t="s">
        <v>300</v>
      </c>
      <c r="F255" s="25" t="s">
        <v>305</v>
      </c>
      <c r="G255" s="31">
        <v>0.2</v>
      </c>
      <c r="H255" s="25" t="s">
        <v>70</v>
      </c>
      <c r="I255" s="25" t="s">
        <v>71</v>
      </c>
      <c r="J255" s="27">
        <v>3000</v>
      </c>
      <c r="K255" s="28">
        <v>16.1</v>
      </c>
      <c r="L255" s="29"/>
      <c r="M255" s="29">
        <f>L255*K255</f>
        <v>0</v>
      </c>
      <c r="N255" s="30">
        <v>4607015189919</v>
      </c>
    </row>
    <row r="256" spans="1:14" ht="23.25" customHeight="1" outlineLevel="3">
      <c r="A256" s="22" t="s">
        <v>306</v>
      </c>
      <c r="B256" s="23" t="str">
        <f>HYPERLINK("http://www.sedek.ru/upload/iblock/b15/tomat_grot.jpg","фото")</f>
        <v>фото</v>
      </c>
      <c r="C256" s="24"/>
      <c r="D256" s="24" t="s">
        <v>95</v>
      </c>
      <c r="E256" s="25"/>
      <c r="F256" s="25" t="s">
        <v>307</v>
      </c>
      <c r="G256" s="31">
        <v>0.1</v>
      </c>
      <c r="H256" s="25" t="s">
        <v>70</v>
      </c>
      <c r="I256" s="25" t="s">
        <v>71</v>
      </c>
      <c r="J256" s="27">
        <v>4000</v>
      </c>
      <c r="K256" s="28">
        <v>15.3</v>
      </c>
      <c r="L256" s="29"/>
      <c r="M256" s="29">
        <f>L256*K256</f>
        <v>0</v>
      </c>
      <c r="N256" s="30">
        <v>4607015189933</v>
      </c>
    </row>
    <row r="257" spans="1:14" ht="23.25" customHeight="1" outlineLevel="3">
      <c r="A257" s="22" t="s">
        <v>308</v>
      </c>
      <c r="B257" s="23" t="str">
        <f>HYPERLINK("http://www.sedek.ru/upload/iblock/535/tomat_grusha_krasnaya.jpg","Фото")</f>
        <v>Фото</v>
      </c>
      <c r="C257" s="24"/>
      <c r="D257" s="24"/>
      <c r="E257" s="25"/>
      <c r="F257" s="25" t="s">
        <v>309</v>
      </c>
      <c r="G257" s="31">
        <v>0.1</v>
      </c>
      <c r="H257" s="25" t="s">
        <v>70</v>
      </c>
      <c r="I257" s="25" t="s">
        <v>71</v>
      </c>
      <c r="J257" s="27">
        <v>4000</v>
      </c>
      <c r="K257" s="28">
        <v>16.1</v>
      </c>
      <c r="L257" s="29"/>
      <c r="M257" s="29">
        <f>L257*K257</f>
        <v>0</v>
      </c>
      <c r="N257" s="30">
        <v>4690368030588</v>
      </c>
    </row>
    <row r="258" spans="1:14" ht="34.5" customHeight="1" outlineLevel="3">
      <c r="A258" s="22" t="s">
        <v>310</v>
      </c>
      <c r="B258" s="23" t="str">
        <f>HYPERLINK("http://www.sedek.ru/upload/iblock/159/tomat_grushka_konservnaya_rozovaya.jpg","Фото")</f>
        <v>Фото</v>
      </c>
      <c r="C258" s="24"/>
      <c r="D258" s="24"/>
      <c r="E258" s="25"/>
      <c r="F258" s="25" t="s">
        <v>311</v>
      </c>
      <c r="G258" s="31">
        <v>0.1</v>
      </c>
      <c r="H258" s="25" t="s">
        <v>70</v>
      </c>
      <c r="I258" s="25" t="s">
        <v>71</v>
      </c>
      <c r="J258" s="27">
        <v>4000</v>
      </c>
      <c r="K258" s="28">
        <v>16.1</v>
      </c>
      <c r="L258" s="29"/>
      <c r="M258" s="29">
        <f>L258*K258</f>
        <v>0</v>
      </c>
      <c r="N258" s="30">
        <v>4690368033923</v>
      </c>
    </row>
    <row r="259" spans="1:14" ht="34.5" customHeight="1" outlineLevel="3">
      <c r="A259" s="32">
        <v>13931</v>
      </c>
      <c r="B259" s="23" t="str">
        <f>HYPERLINK("http://sedek.ru/upload/iblock/9b7/tomat_darya_f1.jpg","фото")</f>
        <v>фото</v>
      </c>
      <c r="C259" s="24"/>
      <c r="D259" s="24"/>
      <c r="E259" s="25"/>
      <c r="F259" s="25" t="s">
        <v>312</v>
      </c>
      <c r="G259" s="31">
        <v>0.1</v>
      </c>
      <c r="H259" s="25" t="s">
        <v>70</v>
      </c>
      <c r="I259" s="25" t="s">
        <v>71</v>
      </c>
      <c r="J259" s="27">
        <v>4000</v>
      </c>
      <c r="K259" s="28">
        <v>33.2</v>
      </c>
      <c r="L259" s="29"/>
      <c r="M259" s="29">
        <f>L259*K259</f>
        <v>0</v>
      </c>
      <c r="N259" s="30">
        <v>4690368022200</v>
      </c>
    </row>
    <row r="260" spans="1:14" ht="34.5" customHeight="1" outlineLevel="3">
      <c r="A260" s="32">
        <v>13956</v>
      </c>
      <c r="B260" s="23" t="str">
        <f>HYPERLINK("http://sedek.ru/upload/iblock/88b/tomat_dachnyy_lyubimets.jpg","фото")</f>
        <v>фото</v>
      </c>
      <c r="C260" s="24"/>
      <c r="D260" s="24"/>
      <c r="E260" s="25"/>
      <c r="F260" s="25" t="s">
        <v>313</v>
      </c>
      <c r="G260" s="31">
        <v>0.1</v>
      </c>
      <c r="H260" s="25" t="s">
        <v>70</v>
      </c>
      <c r="I260" s="25" t="s">
        <v>71</v>
      </c>
      <c r="J260" s="27">
        <v>4000</v>
      </c>
      <c r="K260" s="28">
        <v>15.3</v>
      </c>
      <c r="L260" s="29"/>
      <c r="M260" s="29">
        <f>L260*K260</f>
        <v>0</v>
      </c>
      <c r="N260" s="30">
        <v>4690368009775</v>
      </c>
    </row>
    <row r="261" spans="1:14" ht="23.25" customHeight="1" outlineLevel="3">
      <c r="A261" s="32">
        <v>14580</v>
      </c>
      <c r="B261" s="23" t="str">
        <f>HYPERLINK("http://www.sedek.ru/upload/iblock/989/tomat_de_barao_rozovyy.jpg","фото")</f>
        <v>фото</v>
      </c>
      <c r="C261" s="24"/>
      <c r="D261" s="24"/>
      <c r="E261" s="25"/>
      <c r="F261" s="25" t="s">
        <v>314</v>
      </c>
      <c r="G261" s="31">
        <v>0.1</v>
      </c>
      <c r="H261" s="25" t="s">
        <v>70</v>
      </c>
      <c r="I261" s="25" t="s">
        <v>71</v>
      </c>
      <c r="J261" s="27">
        <v>4000</v>
      </c>
      <c r="K261" s="28">
        <v>15.2</v>
      </c>
      <c r="L261" s="29"/>
      <c r="M261" s="29">
        <f>L261*K261</f>
        <v>0</v>
      </c>
      <c r="N261" s="30">
        <v>4607015189988</v>
      </c>
    </row>
    <row r="262" spans="1:14" ht="34.5" customHeight="1" outlineLevel="3">
      <c r="A262" s="32">
        <v>13693</v>
      </c>
      <c r="B262" s="23" t="str">
        <f>HYPERLINK("http://www.sedek.ru/upload/iblock/538/tomat_detskie_palchiki_f1.jpg","фото")</f>
        <v>фото</v>
      </c>
      <c r="C262" s="24"/>
      <c r="D262" s="24"/>
      <c r="E262" s="25"/>
      <c r="F262" s="25" t="s">
        <v>315</v>
      </c>
      <c r="G262" s="31">
        <v>0.1</v>
      </c>
      <c r="H262" s="25" t="s">
        <v>70</v>
      </c>
      <c r="I262" s="25" t="s">
        <v>71</v>
      </c>
      <c r="J262" s="27">
        <v>4000</v>
      </c>
      <c r="K262" s="28">
        <v>16.9</v>
      </c>
      <c r="L262" s="29"/>
      <c r="M262" s="29">
        <f>L262*K262</f>
        <v>0</v>
      </c>
      <c r="N262" s="30">
        <v>4690368022217</v>
      </c>
    </row>
    <row r="263" spans="1:14" ht="34.5" customHeight="1" outlineLevel="3">
      <c r="A263" s="32">
        <v>15979</v>
      </c>
      <c r="B263" s="23" t="str">
        <f>HYPERLINK("http://sedek.ru/upload/iblock/fe9/tomat_don_zhuan.jpg","фото")</f>
        <v>фото</v>
      </c>
      <c r="C263" s="24"/>
      <c r="D263" s="24"/>
      <c r="E263" s="25"/>
      <c r="F263" s="25" t="s">
        <v>316</v>
      </c>
      <c r="G263" s="31">
        <v>0.1</v>
      </c>
      <c r="H263" s="25" t="s">
        <v>70</v>
      </c>
      <c r="I263" s="25" t="s">
        <v>71</v>
      </c>
      <c r="J263" s="27">
        <v>4000</v>
      </c>
      <c r="K263" s="28">
        <v>16.1</v>
      </c>
      <c r="L263" s="29"/>
      <c r="M263" s="29">
        <f>L263*K263</f>
        <v>0</v>
      </c>
      <c r="N263" s="30">
        <v>4607116260067</v>
      </c>
    </row>
    <row r="264" spans="1:14" ht="34.5" customHeight="1" outlineLevel="3">
      <c r="A264" s="32">
        <v>15737</v>
      </c>
      <c r="B264" s="23" t="str">
        <f>HYPERLINK("http://sedek.ru/upload/iblock/f5b/tomat_don_kikhot_f1.jpg","фото")</f>
        <v>фото</v>
      </c>
      <c r="C264" s="24"/>
      <c r="D264" s="24"/>
      <c r="E264" s="25"/>
      <c r="F264" s="25" t="s">
        <v>317</v>
      </c>
      <c r="G264" s="33">
        <v>0.05</v>
      </c>
      <c r="H264" s="25" t="s">
        <v>70</v>
      </c>
      <c r="I264" s="25" t="s">
        <v>71</v>
      </c>
      <c r="J264" s="27">
        <v>5000</v>
      </c>
      <c r="K264" s="28">
        <v>16.2</v>
      </c>
      <c r="L264" s="29"/>
      <c r="M264" s="29">
        <f>L264*K264</f>
        <v>0</v>
      </c>
      <c r="N264" s="30">
        <v>4607015185294</v>
      </c>
    </row>
    <row r="265" spans="1:14" ht="23.25" customHeight="1" outlineLevel="3">
      <c r="A265" s="32">
        <v>15935</v>
      </c>
      <c r="B265" s="23" t="str">
        <f>HYPERLINK("http://sedek.ru/upload/iblock/32b/tomat_dochka_f1.jpg","фото")</f>
        <v>фото</v>
      </c>
      <c r="C265" s="24"/>
      <c r="D265" s="24"/>
      <c r="E265" s="25"/>
      <c r="F265" s="25" t="s">
        <v>318</v>
      </c>
      <c r="G265" s="31">
        <v>0.1</v>
      </c>
      <c r="H265" s="25" t="s">
        <v>70</v>
      </c>
      <c r="I265" s="25" t="s">
        <v>71</v>
      </c>
      <c r="J265" s="27">
        <v>4000</v>
      </c>
      <c r="K265" s="28">
        <v>25.2</v>
      </c>
      <c r="L265" s="29"/>
      <c r="M265" s="29">
        <f>L265*K265</f>
        <v>0</v>
      </c>
      <c r="N265" s="30">
        <v>4690368014571</v>
      </c>
    </row>
    <row r="266" spans="1:14" ht="23.25" customHeight="1" outlineLevel="3">
      <c r="A266" s="32">
        <v>13946</v>
      </c>
      <c r="B266" s="23" t="str">
        <f>HYPERLINK("http://sedek.ru/upload/iblock/49c/tomat_dushechka_f1.jpg","фото")</f>
        <v>фото</v>
      </c>
      <c r="C266" s="24"/>
      <c r="D266" s="24"/>
      <c r="E266" s="25"/>
      <c r="F266" s="25" t="s">
        <v>319</v>
      </c>
      <c r="G266" s="33">
        <v>0.05</v>
      </c>
      <c r="H266" s="25" t="s">
        <v>70</v>
      </c>
      <c r="I266" s="25" t="s">
        <v>71</v>
      </c>
      <c r="J266" s="27">
        <v>5000</v>
      </c>
      <c r="K266" s="28">
        <v>18.4</v>
      </c>
      <c r="L266" s="29"/>
      <c r="M266" s="29">
        <f>L266*K266</f>
        <v>0</v>
      </c>
      <c r="N266" s="30">
        <v>4607116260081</v>
      </c>
    </row>
    <row r="267" spans="1:14" ht="23.25" customHeight="1" outlineLevel="3">
      <c r="A267" s="22" t="s">
        <v>320</v>
      </c>
      <c r="B267" s="23" t="str">
        <f>HYPERLINK("http://sedek.ru/upload/iblock/8ff/tomat_ekaterina_f1.jpg","фото")</f>
        <v>фото</v>
      </c>
      <c r="C267" s="24"/>
      <c r="D267" s="24" t="s">
        <v>95</v>
      </c>
      <c r="E267" s="25"/>
      <c r="F267" s="25" t="s">
        <v>321</v>
      </c>
      <c r="G267" s="33">
        <v>0.03</v>
      </c>
      <c r="H267" s="25" t="s">
        <v>70</v>
      </c>
      <c r="I267" s="25" t="s">
        <v>71</v>
      </c>
      <c r="J267" s="27">
        <v>5000</v>
      </c>
      <c r="K267" s="28">
        <v>38.7</v>
      </c>
      <c r="L267" s="29"/>
      <c r="M267" s="29">
        <f>L267*K267</f>
        <v>0</v>
      </c>
      <c r="N267" s="30">
        <v>4690368014588</v>
      </c>
    </row>
    <row r="268" spans="1:14" ht="34.5" customHeight="1" outlineLevel="3">
      <c r="A268" s="32">
        <v>16253</v>
      </c>
      <c r="B268" s="23" t="str">
        <f>HYPERLINK("http://sedek.ru/upload/iblock/16d/tomat_elizaveta_f1.jpg","фото")</f>
        <v>фото</v>
      </c>
      <c r="C268" s="24"/>
      <c r="D268" s="24" t="s">
        <v>95</v>
      </c>
      <c r="E268" s="25"/>
      <c r="F268" s="25" t="s">
        <v>322</v>
      </c>
      <c r="G268" s="33">
        <v>0.05</v>
      </c>
      <c r="H268" s="25" t="s">
        <v>70</v>
      </c>
      <c r="I268" s="25" t="s">
        <v>71</v>
      </c>
      <c r="J268" s="27">
        <v>5000</v>
      </c>
      <c r="K268" s="28">
        <v>30.9</v>
      </c>
      <c r="L268" s="29"/>
      <c r="M268" s="29">
        <f>L268*K268</f>
        <v>0</v>
      </c>
      <c r="N268" s="30">
        <v>4690368014991</v>
      </c>
    </row>
    <row r="269" spans="1:14" ht="23.25" customHeight="1" outlineLevel="3">
      <c r="A269" s="22" t="s">
        <v>323</v>
      </c>
      <c r="B269" s="23" t="str">
        <f>HYPERLINK("http://sedek.ru/upload/iblock/6a7/tomat_zhadina_f1.jpg","фото")</f>
        <v>фото</v>
      </c>
      <c r="C269" s="24"/>
      <c r="D269" s="24"/>
      <c r="E269" s="25"/>
      <c r="F269" s="25" t="s">
        <v>324</v>
      </c>
      <c r="G269" s="33">
        <v>0.05</v>
      </c>
      <c r="H269" s="25" t="s">
        <v>70</v>
      </c>
      <c r="I269" s="25" t="s">
        <v>71</v>
      </c>
      <c r="J269" s="27">
        <v>5000</v>
      </c>
      <c r="K269" s="28">
        <v>27.8</v>
      </c>
      <c r="L269" s="29"/>
      <c r="M269" s="29">
        <f>L269*K269</f>
        <v>0</v>
      </c>
      <c r="N269" s="30">
        <v>4690368028622</v>
      </c>
    </row>
    <row r="270" spans="1:14" ht="34.5" customHeight="1" outlineLevel="3">
      <c r="A270" s="32">
        <v>16217</v>
      </c>
      <c r="B270" s="23" t="str">
        <f>HYPERLINK("http://sedek.ru/upload/iblock/71b/tomat_zhar_ptitsa_f1.jpg","фото")</f>
        <v>фото</v>
      </c>
      <c r="C270" s="24"/>
      <c r="D270" s="24"/>
      <c r="E270" s="25"/>
      <c r="F270" s="25" t="s">
        <v>325</v>
      </c>
      <c r="G270" s="33">
        <v>0.05</v>
      </c>
      <c r="H270" s="25" t="s">
        <v>70</v>
      </c>
      <c r="I270" s="25" t="s">
        <v>71</v>
      </c>
      <c r="J270" s="27">
        <v>5000</v>
      </c>
      <c r="K270" s="28">
        <v>21.8</v>
      </c>
      <c r="L270" s="29"/>
      <c r="M270" s="29">
        <f>L270*K270</f>
        <v>0</v>
      </c>
      <c r="N270" s="30">
        <v>4607015185348</v>
      </c>
    </row>
    <row r="271" spans="1:14" ht="23.25" customHeight="1" outlineLevel="3">
      <c r="A271" s="32">
        <v>15853</v>
      </c>
      <c r="B271" s="23" t="str">
        <f>HYPERLINK("http://sedek.ru/upload/iblock/f39/tomat_zheltyy_gigant.jpg","фото")</f>
        <v>фото</v>
      </c>
      <c r="C271" s="24"/>
      <c r="D271" s="24"/>
      <c r="E271" s="25"/>
      <c r="F271" s="25" t="s">
        <v>326</v>
      </c>
      <c r="G271" s="31">
        <v>0.1</v>
      </c>
      <c r="H271" s="25" t="s">
        <v>70</v>
      </c>
      <c r="I271" s="25" t="s">
        <v>71</v>
      </c>
      <c r="J271" s="27">
        <v>4000</v>
      </c>
      <c r="K271" s="28">
        <v>15.5</v>
      </c>
      <c r="L271" s="29"/>
      <c r="M271" s="29">
        <f>L271*K271</f>
        <v>0</v>
      </c>
      <c r="N271" s="30">
        <v>4607116260159</v>
      </c>
    </row>
    <row r="272" spans="1:14" ht="34.5" customHeight="1" outlineLevel="3">
      <c r="A272" s="22" t="s">
        <v>327</v>
      </c>
      <c r="B272" s="23" t="str">
        <f>HYPERLINK("http://sedek.ru/upload/iblock/aff/tomat_zhirtrest_f1.jpg","фото")</f>
        <v>фото</v>
      </c>
      <c r="C272" s="24"/>
      <c r="D272" s="24" t="s">
        <v>95</v>
      </c>
      <c r="E272" s="25"/>
      <c r="F272" s="25" t="s">
        <v>328</v>
      </c>
      <c r="G272" s="31">
        <v>0.1</v>
      </c>
      <c r="H272" s="25" t="s">
        <v>70</v>
      </c>
      <c r="I272" s="25" t="s">
        <v>71</v>
      </c>
      <c r="J272" s="27">
        <v>4000</v>
      </c>
      <c r="K272" s="28">
        <v>16.5</v>
      </c>
      <c r="L272" s="29"/>
      <c r="M272" s="29">
        <f>L272*K272</f>
        <v>0</v>
      </c>
      <c r="N272" s="30">
        <v>4690368028639</v>
      </c>
    </row>
    <row r="273" spans="1:14" ht="23.25" customHeight="1" outlineLevel="3">
      <c r="A273" s="32">
        <v>15338</v>
      </c>
      <c r="B273" s="23" t="str">
        <f>HYPERLINK("http://sedek.ru/upload/iblock/f52/tomat_zarevo_f1.jpg","фото")</f>
        <v>фото</v>
      </c>
      <c r="C273" s="24"/>
      <c r="D273" s="24"/>
      <c r="E273" s="25"/>
      <c r="F273" s="25" t="s">
        <v>329</v>
      </c>
      <c r="G273" s="33">
        <v>0.05</v>
      </c>
      <c r="H273" s="25" t="s">
        <v>70</v>
      </c>
      <c r="I273" s="25" t="s">
        <v>71</v>
      </c>
      <c r="J273" s="27">
        <v>5000</v>
      </c>
      <c r="K273" s="28">
        <v>30.5</v>
      </c>
      <c r="L273" s="29"/>
      <c r="M273" s="29">
        <f>L273*K273</f>
        <v>0</v>
      </c>
      <c r="N273" s="30">
        <v>4690368012966</v>
      </c>
    </row>
    <row r="274" spans="1:14" ht="23.25" customHeight="1" outlineLevel="3">
      <c r="A274" s="32">
        <v>13692</v>
      </c>
      <c r="B274" s="23" t="str">
        <f>HYPERLINK("http://sedek.ru/upload/iblock/429/tomat_zasolochnyy_gruntovyy.jpg","фото")</f>
        <v>фото</v>
      </c>
      <c r="C274" s="24"/>
      <c r="D274" s="24"/>
      <c r="E274" s="25"/>
      <c r="F274" s="25" t="s">
        <v>330</v>
      </c>
      <c r="G274" s="31">
        <v>0.1</v>
      </c>
      <c r="H274" s="25" t="s">
        <v>70</v>
      </c>
      <c r="I274" s="25" t="s">
        <v>71</v>
      </c>
      <c r="J274" s="27">
        <v>4000</v>
      </c>
      <c r="K274" s="28">
        <v>16.1</v>
      </c>
      <c r="L274" s="29"/>
      <c r="M274" s="29">
        <f>L274*K274</f>
        <v>0</v>
      </c>
      <c r="N274" s="30">
        <v>4690368022224</v>
      </c>
    </row>
    <row r="275" spans="1:14" ht="34.5" customHeight="1" outlineLevel="3">
      <c r="A275" s="32">
        <v>17015</v>
      </c>
      <c r="B275" s="23" t="str">
        <f>HYPERLINK("http://www.sedek.ru/upload/iblock/f58/tomat_zolotye_kolokola_f1.jpg","Фото")</f>
        <v>Фото</v>
      </c>
      <c r="C275" s="24"/>
      <c r="D275" s="24"/>
      <c r="E275" s="25"/>
      <c r="F275" s="25" t="s">
        <v>331</v>
      </c>
      <c r="G275" s="33">
        <v>0.05</v>
      </c>
      <c r="H275" s="25" t="s">
        <v>70</v>
      </c>
      <c r="I275" s="25" t="s">
        <v>71</v>
      </c>
      <c r="J275" s="27">
        <v>5000</v>
      </c>
      <c r="K275" s="28">
        <v>27.1</v>
      </c>
      <c r="L275" s="29"/>
      <c r="M275" s="29">
        <f>L275*K275</f>
        <v>0</v>
      </c>
      <c r="N275" s="30">
        <v>4607149409068</v>
      </c>
    </row>
    <row r="276" spans="1:14" ht="34.5" customHeight="1" outlineLevel="3">
      <c r="A276" s="22" t="s">
        <v>332</v>
      </c>
      <c r="B276" s="23" t="str">
        <f>HYPERLINK("http://www.sedek.ru/upload/iblock/e2b/tomat_ivan_tsarevich_f1.jpg","фото")</f>
        <v>фото</v>
      </c>
      <c r="C276" s="24"/>
      <c r="D276" s="24" t="s">
        <v>95</v>
      </c>
      <c r="E276" s="25"/>
      <c r="F276" s="25" t="s">
        <v>333</v>
      </c>
      <c r="G276" s="31">
        <v>0.1</v>
      </c>
      <c r="H276" s="25" t="s">
        <v>70</v>
      </c>
      <c r="I276" s="25" t="s">
        <v>71</v>
      </c>
      <c r="J276" s="27">
        <v>4000</v>
      </c>
      <c r="K276" s="28">
        <v>22.2</v>
      </c>
      <c r="L276" s="29"/>
      <c r="M276" s="29">
        <f>L276*K276</f>
        <v>0</v>
      </c>
      <c r="N276" s="30">
        <v>4690368028110</v>
      </c>
    </row>
    <row r="277" spans="1:14" ht="34.5" customHeight="1" outlineLevel="3">
      <c r="A277" s="32">
        <v>16092</v>
      </c>
      <c r="B277" s="23" t="str">
        <f>HYPERLINK("http://sedek.ru/upload/iblock/fe3/tomat_ivanych_f1.jpg","фото")</f>
        <v>фото</v>
      </c>
      <c r="C277" s="24"/>
      <c r="D277" s="24"/>
      <c r="E277" s="25"/>
      <c r="F277" s="25" t="s">
        <v>334</v>
      </c>
      <c r="G277" s="31">
        <v>0.1</v>
      </c>
      <c r="H277" s="25" t="s">
        <v>70</v>
      </c>
      <c r="I277" s="25" t="s">
        <v>71</v>
      </c>
      <c r="J277" s="27">
        <v>4000</v>
      </c>
      <c r="K277" s="28">
        <v>38.7</v>
      </c>
      <c r="L277" s="29"/>
      <c r="M277" s="29">
        <f>L277*K277</f>
        <v>0</v>
      </c>
      <c r="N277" s="30">
        <v>4690368022231</v>
      </c>
    </row>
    <row r="278" spans="1:14" ht="23.25" customHeight="1" outlineLevel="3">
      <c r="A278" s="22" t="s">
        <v>335</v>
      </c>
      <c r="B278" s="23" t="str">
        <f>HYPERLINK("http://www.sedek.ru/upload/iblock/dd3/tomat_idalgo_sakharnyy_f1.jpg","Фото")</f>
        <v>Фото</v>
      </c>
      <c r="C278" s="24"/>
      <c r="D278" s="24"/>
      <c r="E278" s="25"/>
      <c r="F278" s="25" t="s">
        <v>336</v>
      </c>
      <c r="G278" s="33">
        <v>0.05</v>
      </c>
      <c r="H278" s="25" t="s">
        <v>70</v>
      </c>
      <c r="I278" s="25" t="s">
        <v>71</v>
      </c>
      <c r="J278" s="27">
        <v>5000</v>
      </c>
      <c r="K278" s="28">
        <v>30.9</v>
      </c>
      <c r="L278" s="29"/>
      <c r="M278" s="29">
        <f>L278*K278</f>
        <v>0</v>
      </c>
      <c r="N278" s="30">
        <v>4690368028035</v>
      </c>
    </row>
    <row r="279" spans="1:14" ht="34.5" customHeight="1" outlineLevel="3">
      <c r="A279" s="22" t="s">
        <v>337</v>
      </c>
      <c r="B279" s="23" t="str">
        <f>HYPERLINK("http://sedek.ru/upload/iblock/aa3/tomat_izumrudnoe_yabloko.jpg","фото")</f>
        <v>фото</v>
      </c>
      <c r="C279" s="24"/>
      <c r="D279" s="24"/>
      <c r="E279" s="25"/>
      <c r="F279" s="25" t="s">
        <v>338</v>
      </c>
      <c r="G279" s="31">
        <v>0.1</v>
      </c>
      <c r="H279" s="25" t="s">
        <v>70</v>
      </c>
      <c r="I279" s="25" t="s">
        <v>71</v>
      </c>
      <c r="J279" s="27">
        <v>4000</v>
      </c>
      <c r="K279" s="28">
        <v>16.1</v>
      </c>
      <c r="L279" s="29"/>
      <c r="M279" s="29">
        <f>L279*K279</f>
        <v>0</v>
      </c>
      <c r="N279" s="30">
        <v>4690368028608</v>
      </c>
    </row>
    <row r="280" spans="1:14" ht="34.5" customHeight="1" outlineLevel="3">
      <c r="A280" s="55" t="s">
        <v>339</v>
      </c>
      <c r="B280" s="47" t="str">
        <f>HYPERLINK("http://sedek.ru/upload/iblock/a32/tomat_kaspar_2_f1.jpg","фото")</f>
        <v>фото</v>
      </c>
      <c r="C280" s="48"/>
      <c r="D280" s="48" t="s">
        <v>95</v>
      </c>
      <c r="E280" s="49"/>
      <c r="F280" s="49" t="s">
        <v>340</v>
      </c>
      <c r="G280" s="56">
        <v>0.05</v>
      </c>
      <c r="H280" s="49" t="s">
        <v>70</v>
      </c>
      <c r="I280" s="49" t="s">
        <v>71</v>
      </c>
      <c r="J280" s="51">
        <v>5000</v>
      </c>
      <c r="K280" s="52">
        <v>18.7</v>
      </c>
      <c r="L280" s="53"/>
      <c r="M280" s="53">
        <f>L280*K280</f>
        <v>0</v>
      </c>
      <c r="N280" s="30">
        <v>4690368028127</v>
      </c>
    </row>
    <row r="281" spans="1:14" ht="23.25" customHeight="1" outlineLevel="3">
      <c r="A281" s="22" t="s">
        <v>341</v>
      </c>
      <c r="B281" s="23" t="str">
        <f>HYPERLINK("http://sedek.ru/upload/iblock/593/tomat_knyaz_f1.jpg","фото")</f>
        <v>фото</v>
      </c>
      <c r="C281" s="24"/>
      <c r="D281" s="24"/>
      <c r="E281" s="25"/>
      <c r="F281" s="25" t="s">
        <v>342</v>
      </c>
      <c r="G281" s="33">
        <v>0.03</v>
      </c>
      <c r="H281" s="25" t="s">
        <v>70</v>
      </c>
      <c r="I281" s="25" t="s">
        <v>71</v>
      </c>
      <c r="J281" s="27">
        <v>5000</v>
      </c>
      <c r="K281" s="28">
        <v>35.1</v>
      </c>
      <c r="L281" s="29"/>
      <c r="M281" s="29">
        <f>L281*K281</f>
        <v>0</v>
      </c>
      <c r="N281" s="30">
        <v>4690368008181</v>
      </c>
    </row>
    <row r="282" spans="1:14" ht="34.5" customHeight="1" outlineLevel="3">
      <c r="A282" s="32">
        <v>15930</v>
      </c>
      <c r="B282" s="23" t="str">
        <f>HYPERLINK("http://sedek.ru/upload/iblock/1ae/tomat_krasno_solnyshko_f1.jpg","фото")</f>
        <v>фото</v>
      </c>
      <c r="C282" s="24"/>
      <c r="D282" s="24"/>
      <c r="E282" s="25"/>
      <c r="F282" s="25" t="s">
        <v>343</v>
      </c>
      <c r="G282" s="33">
        <v>0.05</v>
      </c>
      <c r="H282" s="25" t="s">
        <v>70</v>
      </c>
      <c r="I282" s="25" t="s">
        <v>71</v>
      </c>
      <c r="J282" s="27">
        <v>5000</v>
      </c>
      <c r="K282" s="28">
        <v>23.8</v>
      </c>
      <c r="L282" s="29"/>
      <c r="M282" s="29">
        <f>L282*K282</f>
        <v>0</v>
      </c>
      <c r="N282" s="30">
        <v>4607015185416</v>
      </c>
    </row>
    <row r="283" spans="1:14" ht="34.5" customHeight="1" outlineLevel="3">
      <c r="A283" s="32">
        <v>13770</v>
      </c>
      <c r="B283" s="23" t="str">
        <f>HYPERLINK("http://sedek.ru/upload/iblock/5ed/tomat_krasnyy_myasistyy.jpg","фото")</f>
        <v>фото</v>
      </c>
      <c r="C283" s="24"/>
      <c r="D283" s="24"/>
      <c r="E283" s="25"/>
      <c r="F283" s="25" t="s">
        <v>344</v>
      </c>
      <c r="G283" s="31">
        <v>0.1</v>
      </c>
      <c r="H283" s="25" t="s">
        <v>70</v>
      </c>
      <c r="I283" s="25" t="s">
        <v>71</v>
      </c>
      <c r="J283" s="27">
        <v>4000</v>
      </c>
      <c r="K283" s="28">
        <v>16.1</v>
      </c>
      <c r="L283" s="29"/>
      <c r="M283" s="29">
        <f>L283*K283</f>
        <v>0</v>
      </c>
      <c r="N283" s="30">
        <v>4607116260524</v>
      </c>
    </row>
    <row r="284" spans="1:14" ht="34.5" customHeight="1" outlineLevel="3">
      <c r="A284" s="22" t="s">
        <v>345</v>
      </c>
      <c r="B284" s="23" t="str">
        <f>HYPERLINK("http://www.sedek.ru/upload/iblock/421/tomat_krasnyy_chempion_f1.jpg","фото")</f>
        <v>фото</v>
      </c>
      <c r="C284" s="24"/>
      <c r="D284" s="24"/>
      <c r="E284" s="25"/>
      <c r="F284" s="25" t="s">
        <v>346</v>
      </c>
      <c r="G284" s="33">
        <v>0.03</v>
      </c>
      <c r="H284" s="25" t="s">
        <v>70</v>
      </c>
      <c r="I284" s="25" t="s">
        <v>71</v>
      </c>
      <c r="J284" s="27">
        <v>5000</v>
      </c>
      <c r="K284" s="28">
        <v>29.4</v>
      </c>
      <c r="L284" s="29"/>
      <c r="M284" s="29">
        <f>L284*K284</f>
        <v>0</v>
      </c>
      <c r="N284" s="30">
        <v>4690368033756</v>
      </c>
    </row>
    <row r="285" spans="1:14" ht="23.25" customHeight="1" outlineLevel="3">
      <c r="A285" s="32">
        <v>14277</v>
      </c>
      <c r="B285" s="23" t="str">
        <f>HYPERLINK("http://sedek.ru/upload/iblock/b10/tomat_krasotka_f1.jpg","фото")</f>
        <v>фото</v>
      </c>
      <c r="C285" s="24"/>
      <c r="D285" s="24" t="s">
        <v>95</v>
      </c>
      <c r="E285" s="25"/>
      <c r="F285" s="25" t="s">
        <v>347</v>
      </c>
      <c r="G285" s="33">
        <v>0.05</v>
      </c>
      <c r="H285" s="25" t="s">
        <v>70</v>
      </c>
      <c r="I285" s="25" t="s">
        <v>71</v>
      </c>
      <c r="J285" s="27">
        <v>5000</v>
      </c>
      <c r="K285" s="28">
        <v>30.9</v>
      </c>
      <c r="L285" s="29"/>
      <c r="M285" s="29">
        <f>L285*K285</f>
        <v>0</v>
      </c>
      <c r="N285" s="30">
        <v>4607015185430</v>
      </c>
    </row>
    <row r="286" spans="1:14" ht="23.25" customHeight="1" outlineLevel="3">
      <c r="A286" s="32">
        <v>15130</v>
      </c>
      <c r="B286" s="23" t="str">
        <f>HYPERLINK("http://www.sedek.ru/upload/iblock/eec/tomat_krupnyy_krasnyy.jpg","фото")</f>
        <v>фото</v>
      </c>
      <c r="C286" s="24"/>
      <c r="D286" s="24"/>
      <c r="E286" s="25"/>
      <c r="F286" s="25" t="s">
        <v>348</v>
      </c>
      <c r="G286" s="31">
        <v>0.1</v>
      </c>
      <c r="H286" s="25" t="s">
        <v>70</v>
      </c>
      <c r="I286" s="25" t="s">
        <v>71</v>
      </c>
      <c r="J286" s="27">
        <v>4000</v>
      </c>
      <c r="K286" s="28">
        <v>16.1</v>
      </c>
      <c r="L286" s="29"/>
      <c r="M286" s="29">
        <f>L286*K286</f>
        <v>0</v>
      </c>
      <c r="N286" s="30">
        <v>4690368016469</v>
      </c>
    </row>
    <row r="287" spans="1:14" ht="23.25" customHeight="1" outlineLevel="3">
      <c r="A287" s="32">
        <v>15318</v>
      </c>
      <c r="B287" s="23" t="str">
        <f>HYPERLINK("http://www.sedek.ru/upload/iblock/416/tomat_krupnyy_rozovyy.jpg","фото")</f>
        <v>фото</v>
      </c>
      <c r="C287" s="24"/>
      <c r="D287" s="24"/>
      <c r="E287" s="25"/>
      <c r="F287" s="25" t="s">
        <v>349</v>
      </c>
      <c r="G287" s="31">
        <v>0.1</v>
      </c>
      <c r="H287" s="25" t="s">
        <v>70</v>
      </c>
      <c r="I287" s="25" t="s">
        <v>71</v>
      </c>
      <c r="J287" s="27">
        <v>4000</v>
      </c>
      <c r="K287" s="28">
        <v>15.3</v>
      </c>
      <c r="L287" s="29"/>
      <c r="M287" s="29">
        <f>L287*K287</f>
        <v>0</v>
      </c>
      <c r="N287" s="30">
        <v>4690368016476</v>
      </c>
    </row>
    <row r="288" spans="1:14" ht="23.25" customHeight="1" outlineLevel="3">
      <c r="A288" s="32">
        <v>16501</v>
      </c>
      <c r="B288" s="23" t="str">
        <f>HYPERLINK("http://www.sedek.ru/upload/iblock/faf/tomat_ksyusha_f1.jpg","фото")</f>
        <v>фото</v>
      </c>
      <c r="C288" s="24"/>
      <c r="D288" s="24"/>
      <c r="E288" s="25"/>
      <c r="F288" s="25" t="s">
        <v>350</v>
      </c>
      <c r="G288" s="33">
        <v>0.05</v>
      </c>
      <c r="H288" s="25" t="s">
        <v>70</v>
      </c>
      <c r="I288" s="25" t="s">
        <v>71</v>
      </c>
      <c r="J288" s="27">
        <v>5000</v>
      </c>
      <c r="K288" s="28">
        <v>19.7</v>
      </c>
      <c r="L288" s="29"/>
      <c r="M288" s="29">
        <f>L288*K288</f>
        <v>0</v>
      </c>
      <c r="N288" s="30">
        <v>4607116267547</v>
      </c>
    </row>
    <row r="289" spans="1:14" ht="34.5" customHeight="1" outlineLevel="3">
      <c r="A289" s="32">
        <v>14832</v>
      </c>
      <c r="B289" s="23" t="str">
        <f>HYPERLINK("http://sedek.ru/upload/iblock/805/tomat_laska_f1.jpg","фото")</f>
        <v>фото</v>
      </c>
      <c r="C289" s="24"/>
      <c r="D289" s="24"/>
      <c r="E289" s="25"/>
      <c r="F289" s="25" t="s">
        <v>351</v>
      </c>
      <c r="G289" s="33">
        <v>0.05</v>
      </c>
      <c r="H289" s="25" t="s">
        <v>70</v>
      </c>
      <c r="I289" s="25" t="s">
        <v>71</v>
      </c>
      <c r="J289" s="27">
        <v>5000</v>
      </c>
      <c r="K289" s="28">
        <v>24.5</v>
      </c>
      <c r="L289" s="29"/>
      <c r="M289" s="29">
        <f>L289*K289</f>
        <v>0</v>
      </c>
      <c r="N289" s="30">
        <v>4690368014618</v>
      </c>
    </row>
    <row r="290" spans="1:14" ht="34.5" customHeight="1" outlineLevel="3">
      <c r="A290" s="32">
        <v>16472</v>
      </c>
      <c r="B290" s="23" t="str">
        <f>HYPERLINK("http://sedek.ru/upload/iblock/35b/tomat_lider.jpg","фото")</f>
        <v>фото</v>
      </c>
      <c r="C290" s="24"/>
      <c r="D290" s="24"/>
      <c r="E290" s="25"/>
      <c r="F290" s="25" t="s">
        <v>352</v>
      </c>
      <c r="G290" s="31">
        <v>0.2</v>
      </c>
      <c r="H290" s="25" t="s">
        <v>70</v>
      </c>
      <c r="I290" s="25" t="s">
        <v>71</v>
      </c>
      <c r="J290" s="27">
        <v>3000</v>
      </c>
      <c r="K290" s="28">
        <v>15.3</v>
      </c>
      <c r="L290" s="29"/>
      <c r="M290" s="29">
        <f>L290*K290</f>
        <v>0</v>
      </c>
      <c r="N290" s="30">
        <v>4607015185485</v>
      </c>
    </row>
    <row r="291" spans="1:14" ht="34.5" customHeight="1" outlineLevel="3">
      <c r="A291" s="32">
        <v>15119</v>
      </c>
      <c r="B291" s="23" t="str">
        <f>HYPERLINK("http://sedek.ru/upload/iblock/7f7/tomat_liza.jpg","фото")</f>
        <v>фото</v>
      </c>
      <c r="C291" s="24"/>
      <c r="D291" s="24" t="s">
        <v>95</v>
      </c>
      <c r="E291" s="25"/>
      <c r="F291" s="25" t="s">
        <v>353</v>
      </c>
      <c r="G291" s="31">
        <v>0.2</v>
      </c>
      <c r="H291" s="25" t="s">
        <v>70</v>
      </c>
      <c r="I291" s="25" t="s">
        <v>71</v>
      </c>
      <c r="J291" s="27">
        <v>3000</v>
      </c>
      <c r="K291" s="28">
        <v>15.3</v>
      </c>
      <c r="L291" s="29"/>
      <c r="M291" s="29">
        <f>L291*K291</f>
        <v>0</v>
      </c>
      <c r="N291" s="30">
        <v>4607015185492</v>
      </c>
    </row>
    <row r="292" spans="1:14" ht="34.5" customHeight="1" outlineLevel="3">
      <c r="A292" s="32">
        <v>14658</v>
      </c>
      <c r="B292" s="23" t="str">
        <f>HYPERLINK("http://sedek.ru/upload/iblock/c3c/tomat_lyubitelskiy_rozovyy.jpg","фото")</f>
        <v>фото</v>
      </c>
      <c r="C292" s="24"/>
      <c r="D292" s="24"/>
      <c r="E292" s="25"/>
      <c r="F292" s="25" t="s">
        <v>354</v>
      </c>
      <c r="G292" s="31">
        <v>0.1</v>
      </c>
      <c r="H292" s="25" t="s">
        <v>70</v>
      </c>
      <c r="I292" s="25" t="s">
        <v>71</v>
      </c>
      <c r="J292" s="27">
        <v>4000</v>
      </c>
      <c r="K292" s="28">
        <v>15.3</v>
      </c>
      <c r="L292" s="29"/>
      <c r="M292" s="29">
        <f>L292*K292</f>
        <v>0</v>
      </c>
      <c r="N292" s="30">
        <v>4607116260593</v>
      </c>
    </row>
    <row r="293" spans="1:14" ht="23.25" customHeight="1" outlineLevel="3">
      <c r="A293" s="22" t="s">
        <v>355</v>
      </c>
      <c r="B293" s="23" t="str">
        <f>HYPERLINK("http://www.sedek.ru/upload/iblock/ce4/tomat_lyubov_tokio_f1.jpg","фото")</f>
        <v>фото</v>
      </c>
      <c r="C293" s="24"/>
      <c r="D293" s="24"/>
      <c r="E293" s="25"/>
      <c r="F293" s="25" t="s">
        <v>356</v>
      </c>
      <c r="G293" s="33">
        <v>0.03</v>
      </c>
      <c r="H293" s="25" t="s">
        <v>70</v>
      </c>
      <c r="I293" s="25" t="s">
        <v>71</v>
      </c>
      <c r="J293" s="27">
        <v>5000</v>
      </c>
      <c r="K293" s="28">
        <v>33.8</v>
      </c>
      <c r="L293" s="29"/>
      <c r="M293" s="29">
        <f>L293*K293</f>
        <v>0</v>
      </c>
      <c r="N293" s="30">
        <v>4690368030632</v>
      </c>
    </row>
    <row r="294" spans="1:14" ht="23.25" customHeight="1" outlineLevel="3">
      <c r="A294" s="32">
        <v>15838</v>
      </c>
      <c r="B294" s="23" t="str">
        <f>HYPERLINK("http://sedek.ru/upload/iblock/87b/tomat_mazhor_f1.jpg","фото")</f>
        <v>фото</v>
      </c>
      <c r="C294" s="24"/>
      <c r="D294" s="24" t="s">
        <v>95</v>
      </c>
      <c r="E294" s="25"/>
      <c r="F294" s="25" t="s">
        <v>357</v>
      </c>
      <c r="G294" s="33">
        <v>0.05</v>
      </c>
      <c r="H294" s="25" t="s">
        <v>70</v>
      </c>
      <c r="I294" s="25" t="s">
        <v>71</v>
      </c>
      <c r="J294" s="27">
        <v>5000</v>
      </c>
      <c r="K294" s="28">
        <v>33.2</v>
      </c>
      <c r="L294" s="29"/>
      <c r="M294" s="29">
        <f>L294*K294</f>
        <v>0</v>
      </c>
      <c r="N294" s="30">
        <v>4607116260623</v>
      </c>
    </row>
    <row r="295" spans="1:14" ht="23.25" customHeight="1" outlineLevel="3">
      <c r="A295" s="32">
        <v>13572</v>
      </c>
      <c r="B295" s="23" t="str">
        <f>HYPERLINK("http://sedek.ru/upload/iblock/c55/tomat_malinovyy_delikates_f1.jpg","фото")</f>
        <v>фото</v>
      </c>
      <c r="C295" s="24"/>
      <c r="D295" s="24"/>
      <c r="E295" s="25"/>
      <c r="F295" s="25" t="s">
        <v>358</v>
      </c>
      <c r="G295" s="31">
        <v>0.1</v>
      </c>
      <c r="H295" s="25" t="s">
        <v>70</v>
      </c>
      <c r="I295" s="25" t="s">
        <v>71</v>
      </c>
      <c r="J295" s="27">
        <v>4000</v>
      </c>
      <c r="K295" s="28">
        <v>21.9</v>
      </c>
      <c r="L295" s="29"/>
      <c r="M295" s="29">
        <f>L295*K295</f>
        <v>0</v>
      </c>
      <c r="N295" s="30">
        <v>4607149404971</v>
      </c>
    </row>
    <row r="296" spans="1:14" ht="34.5" customHeight="1" outlineLevel="3">
      <c r="A296" s="32">
        <v>16190</v>
      </c>
      <c r="B296" s="23" t="str">
        <f>HYPERLINK("http://sedek.ru/upload/iblock/d4d/tomat_malinovyy_tsvet.jpg","фото")</f>
        <v>фото</v>
      </c>
      <c r="C296" s="24"/>
      <c r="D296" s="24"/>
      <c r="E296" s="25"/>
      <c r="F296" s="25" t="s">
        <v>359</v>
      </c>
      <c r="G296" s="31">
        <v>0.1</v>
      </c>
      <c r="H296" s="25" t="s">
        <v>70</v>
      </c>
      <c r="I296" s="25" t="s">
        <v>71</v>
      </c>
      <c r="J296" s="27">
        <v>4000</v>
      </c>
      <c r="K296" s="28">
        <v>16.2</v>
      </c>
      <c r="L296" s="29"/>
      <c r="M296" s="29">
        <f>L296*K296</f>
        <v>0</v>
      </c>
      <c r="N296" s="30">
        <v>4607116260678</v>
      </c>
    </row>
    <row r="297" spans="1:14" ht="34.5" customHeight="1" outlineLevel="3">
      <c r="A297" s="55" t="s">
        <v>360</v>
      </c>
      <c r="B297" s="47" t="str">
        <f>HYPERLINK("http://sedek.ru/upload/iblock/209/tomat_malchik_s_palchik.jpg","фото")</f>
        <v>фото</v>
      </c>
      <c r="C297" s="48"/>
      <c r="D297" s="48"/>
      <c r="E297" s="49"/>
      <c r="F297" s="49" t="s">
        <v>361</v>
      </c>
      <c r="G297" s="50">
        <v>0.1</v>
      </c>
      <c r="H297" s="49" t="s">
        <v>70</v>
      </c>
      <c r="I297" s="49" t="s">
        <v>71</v>
      </c>
      <c r="J297" s="51">
        <v>4000</v>
      </c>
      <c r="K297" s="52">
        <v>14.5</v>
      </c>
      <c r="L297" s="53"/>
      <c r="M297" s="53">
        <f>L297*K297</f>
        <v>0</v>
      </c>
      <c r="N297" s="30">
        <v>4607116260685</v>
      </c>
    </row>
    <row r="298" spans="1:14" ht="34.5" customHeight="1" outlineLevel="3">
      <c r="A298" s="32">
        <v>14754</v>
      </c>
      <c r="B298" s="23" t="str">
        <f>HYPERLINK("http://sedek.ru/upload/iblock/e24/tomat_mars_uluchshennyy_f1.jpg","фото")</f>
        <v>фото</v>
      </c>
      <c r="C298" s="24"/>
      <c r="D298" s="24"/>
      <c r="E298" s="25"/>
      <c r="F298" s="25" t="s">
        <v>362</v>
      </c>
      <c r="G298" s="33">
        <v>0.05</v>
      </c>
      <c r="H298" s="25" t="s">
        <v>70</v>
      </c>
      <c r="I298" s="25" t="s">
        <v>71</v>
      </c>
      <c r="J298" s="27">
        <v>5000</v>
      </c>
      <c r="K298" s="28">
        <v>17.8</v>
      </c>
      <c r="L298" s="29"/>
      <c r="M298" s="29">
        <f>L298*K298</f>
        <v>0</v>
      </c>
      <c r="N298" s="30">
        <v>4607116260739</v>
      </c>
    </row>
    <row r="299" spans="1:14" ht="34.5" customHeight="1" outlineLevel="3">
      <c r="A299" s="32">
        <v>13753</v>
      </c>
      <c r="B299" s="23" t="str">
        <f>HYPERLINK("http://www.sedek.ru/upload/iblock/cd4/tomat_medovaya_grozd.jpg","фото")</f>
        <v>фото</v>
      </c>
      <c r="C299" s="24"/>
      <c r="D299" s="24" t="s">
        <v>95</v>
      </c>
      <c r="E299" s="25"/>
      <c r="F299" s="25" t="s">
        <v>363</v>
      </c>
      <c r="G299" s="31">
        <v>0.1</v>
      </c>
      <c r="H299" s="25" t="s">
        <v>70</v>
      </c>
      <c r="I299" s="25" t="s">
        <v>71</v>
      </c>
      <c r="J299" s="27">
        <v>4000</v>
      </c>
      <c r="K299" s="28">
        <v>16</v>
      </c>
      <c r="L299" s="29"/>
      <c r="M299" s="29">
        <f>L299*K299</f>
        <v>0</v>
      </c>
      <c r="N299" s="30">
        <v>4607149405077</v>
      </c>
    </row>
    <row r="300" spans="1:14" ht="34.5" customHeight="1" outlineLevel="3">
      <c r="A300" s="32">
        <v>14660</v>
      </c>
      <c r="B300" s="23" t="str">
        <f>HYPERLINK("http://sedek.ru/upload/iblock/2a7/tomat_mikado_rozovyy.jpg","фото")</f>
        <v>фото</v>
      </c>
      <c r="C300" s="24"/>
      <c r="D300" s="24"/>
      <c r="E300" s="25"/>
      <c r="F300" s="25" t="s">
        <v>364</v>
      </c>
      <c r="G300" s="31">
        <v>0.1</v>
      </c>
      <c r="H300" s="25" t="s">
        <v>70</v>
      </c>
      <c r="I300" s="25" t="s">
        <v>71</v>
      </c>
      <c r="J300" s="27">
        <v>4000</v>
      </c>
      <c r="K300" s="28">
        <v>15.3</v>
      </c>
      <c r="L300" s="29"/>
      <c r="M300" s="29">
        <f>L300*K300</f>
        <v>0</v>
      </c>
      <c r="N300" s="30">
        <v>4607116260814</v>
      </c>
    </row>
    <row r="301" spans="1:14" ht="23.25" customHeight="1" outlineLevel="3">
      <c r="A301" s="32">
        <v>14138</v>
      </c>
      <c r="B301" s="23" t="str">
        <f>HYPERLINK("http://www.sedek.ru/upload/iblock/aae/tomat_milashka.jpg","фото")</f>
        <v>фото</v>
      </c>
      <c r="C301" s="24"/>
      <c r="D301" s="24" t="s">
        <v>95</v>
      </c>
      <c r="E301" s="25"/>
      <c r="F301" s="25" t="s">
        <v>365</v>
      </c>
      <c r="G301" s="31">
        <v>0.2</v>
      </c>
      <c r="H301" s="25" t="s">
        <v>70</v>
      </c>
      <c r="I301" s="25" t="s">
        <v>71</v>
      </c>
      <c r="J301" s="27">
        <v>3000</v>
      </c>
      <c r="K301" s="28">
        <v>15.3</v>
      </c>
      <c r="L301" s="29"/>
      <c r="M301" s="29">
        <f>L301*K301</f>
        <v>0</v>
      </c>
      <c r="N301" s="30">
        <v>4607015185515</v>
      </c>
    </row>
    <row r="302" spans="1:14" ht="23.25" customHeight="1" outlineLevel="3">
      <c r="A302" s="32">
        <v>16041</v>
      </c>
      <c r="B302" s="23" t="str">
        <f>HYPERLINK("http://sedek.ru/upload/iblock/379/tomat_minibel.jpg","фото")</f>
        <v>фото</v>
      </c>
      <c r="C302" s="24"/>
      <c r="D302" s="24" t="s">
        <v>95</v>
      </c>
      <c r="E302" s="25"/>
      <c r="F302" s="25" t="s">
        <v>366</v>
      </c>
      <c r="G302" s="31">
        <v>0.1</v>
      </c>
      <c r="H302" s="25" t="s">
        <v>70</v>
      </c>
      <c r="I302" s="25" t="s">
        <v>71</v>
      </c>
      <c r="J302" s="27">
        <v>4000</v>
      </c>
      <c r="K302" s="28">
        <v>16.1</v>
      </c>
      <c r="L302" s="29"/>
      <c r="M302" s="29">
        <f>L302*K302</f>
        <v>0</v>
      </c>
      <c r="N302" s="30">
        <v>4607116260852</v>
      </c>
    </row>
    <row r="303" spans="1:14" ht="23.25" customHeight="1" outlineLevel="3">
      <c r="A303" s="32">
        <v>13509</v>
      </c>
      <c r="B303" s="23" t="str">
        <f>HYPERLINK("http://sedek.ru/upload/iblock/034/tomat_mikhey_f1.jpg","фото")</f>
        <v>фото</v>
      </c>
      <c r="C303" s="24"/>
      <c r="D303" s="24" t="s">
        <v>95</v>
      </c>
      <c r="E303" s="25"/>
      <c r="F303" s="25" t="s">
        <v>367</v>
      </c>
      <c r="G303" s="33">
        <v>0.05</v>
      </c>
      <c r="H303" s="25" t="s">
        <v>70</v>
      </c>
      <c r="I303" s="25" t="s">
        <v>71</v>
      </c>
      <c r="J303" s="27">
        <v>5000</v>
      </c>
      <c r="K303" s="28">
        <v>30.8</v>
      </c>
      <c r="L303" s="29"/>
      <c r="M303" s="29">
        <f>L303*K303</f>
        <v>0</v>
      </c>
      <c r="N303" s="30">
        <v>4607116260883</v>
      </c>
    </row>
    <row r="304" spans="1:14" ht="34.5" customHeight="1" outlineLevel="3">
      <c r="A304" s="22" t="s">
        <v>368</v>
      </c>
      <c r="B304" s="23" t="str">
        <f>HYPERLINK("http://www.sedek.ru/upload/iblock/66c/tomat_morkovnyy.jpg","фото")</f>
        <v>фото</v>
      </c>
      <c r="C304" s="24"/>
      <c r="D304" s="24"/>
      <c r="E304" s="25"/>
      <c r="F304" s="25" t="s">
        <v>369</v>
      </c>
      <c r="G304" s="31">
        <v>0.1</v>
      </c>
      <c r="H304" s="25" t="s">
        <v>70</v>
      </c>
      <c r="I304" s="25" t="s">
        <v>71</v>
      </c>
      <c r="J304" s="27">
        <v>4000</v>
      </c>
      <c r="K304" s="28">
        <v>16.1</v>
      </c>
      <c r="L304" s="29"/>
      <c r="M304" s="29">
        <f>L304*K304</f>
        <v>0</v>
      </c>
      <c r="N304" s="30">
        <v>4690368030649</v>
      </c>
    </row>
    <row r="305" spans="1:14" ht="34.5" customHeight="1" outlineLevel="3">
      <c r="A305" s="32">
        <v>16171</v>
      </c>
      <c r="B305" s="23" t="str">
        <f>HYPERLINK("http://sedek.ru/upload/iblock/78c/tomat_moskovskiy_skorospelyy.jpg","фото")</f>
        <v>фото</v>
      </c>
      <c r="C305" s="24"/>
      <c r="D305" s="24" t="s">
        <v>95</v>
      </c>
      <c r="E305" s="25" t="s">
        <v>300</v>
      </c>
      <c r="F305" s="25" t="s">
        <v>370</v>
      </c>
      <c r="G305" s="31">
        <v>0.1</v>
      </c>
      <c r="H305" s="25" t="s">
        <v>70</v>
      </c>
      <c r="I305" s="25" t="s">
        <v>71</v>
      </c>
      <c r="J305" s="27">
        <v>4000</v>
      </c>
      <c r="K305" s="28">
        <v>16.2</v>
      </c>
      <c r="L305" s="29"/>
      <c r="M305" s="29">
        <f>L305*K305</f>
        <v>0</v>
      </c>
      <c r="N305" s="30">
        <v>4607116260920</v>
      </c>
    </row>
    <row r="306" spans="1:14" ht="34.5" customHeight="1" outlineLevel="3">
      <c r="A306" s="32">
        <v>14831</v>
      </c>
      <c r="B306" s="23" t="str">
        <f>HYPERLINK("http://sedek.ru/upload/iblock/a88/tomat_moya_radost_f1.jpg","фото")</f>
        <v>фото</v>
      </c>
      <c r="C306" s="24"/>
      <c r="D306" s="24"/>
      <c r="E306" s="25"/>
      <c r="F306" s="25" t="s">
        <v>371</v>
      </c>
      <c r="G306" s="33">
        <v>0.05</v>
      </c>
      <c r="H306" s="25" t="s">
        <v>70</v>
      </c>
      <c r="I306" s="25" t="s">
        <v>71</v>
      </c>
      <c r="J306" s="27">
        <v>5000</v>
      </c>
      <c r="K306" s="28">
        <v>29.3</v>
      </c>
      <c r="L306" s="29"/>
      <c r="M306" s="29">
        <f>L306*K306</f>
        <v>0</v>
      </c>
      <c r="N306" s="30">
        <v>4607015185522</v>
      </c>
    </row>
    <row r="307" spans="1:14" ht="23.25" customHeight="1" outlineLevel="3">
      <c r="A307" s="32">
        <v>16093</v>
      </c>
      <c r="B307" s="23" t="str">
        <f>HYPERLINK("http://sedek.ru/upload/iblock/fef/tomat_nadezhda_f1.jpg","фото")</f>
        <v>фото</v>
      </c>
      <c r="C307" s="24"/>
      <c r="D307" s="24"/>
      <c r="E307" s="25"/>
      <c r="F307" s="25" t="s">
        <v>372</v>
      </c>
      <c r="G307" s="33">
        <v>0.05</v>
      </c>
      <c r="H307" s="25" t="s">
        <v>70</v>
      </c>
      <c r="I307" s="25" t="s">
        <v>71</v>
      </c>
      <c r="J307" s="27">
        <v>4000</v>
      </c>
      <c r="K307" s="28">
        <v>29.4</v>
      </c>
      <c r="L307" s="29"/>
      <c r="M307" s="29">
        <f>L307*K307</f>
        <v>0</v>
      </c>
      <c r="N307" s="30">
        <v>4690368022262</v>
      </c>
    </row>
    <row r="308" spans="1:14" ht="34.5" customHeight="1" outlineLevel="3">
      <c r="A308" s="32">
        <v>13477</v>
      </c>
      <c r="B308" s="23" t="str">
        <f>HYPERLINK("http://sedek.ru/upload/iblock/89f/tomat_nevestushka_f1.jpg","фото")</f>
        <v>фото</v>
      </c>
      <c r="C308" s="24"/>
      <c r="D308" s="24"/>
      <c r="E308" s="25"/>
      <c r="F308" s="25" t="s">
        <v>373</v>
      </c>
      <c r="G308" s="33">
        <v>0.05</v>
      </c>
      <c r="H308" s="25" t="s">
        <v>70</v>
      </c>
      <c r="I308" s="25" t="s">
        <v>71</v>
      </c>
      <c r="J308" s="27">
        <v>5000</v>
      </c>
      <c r="K308" s="28">
        <v>26.6</v>
      </c>
      <c r="L308" s="29"/>
      <c r="M308" s="29">
        <f>L308*K308</f>
        <v>0</v>
      </c>
      <c r="N308" s="30">
        <v>4690368009843</v>
      </c>
    </row>
    <row r="309" spans="1:14" ht="34.5" customHeight="1" outlineLevel="3">
      <c r="A309" s="22" t="s">
        <v>374</v>
      </c>
      <c r="B309" s="23" t="str">
        <f>HYPERLINK("http://www.sedek.ru/upload/iblock/014/tomat_nepas_nepasynkuyushchiysya.jpg","фото")</f>
        <v>фото</v>
      </c>
      <c r="C309" s="24"/>
      <c r="D309" s="24" t="s">
        <v>95</v>
      </c>
      <c r="E309" s="25" t="s">
        <v>375</v>
      </c>
      <c r="F309" s="25" t="s">
        <v>376</v>
      </c>
      <c r="G309" s="31">
        <v>0.1</v>
      </c>
      <c r="H309" s="25" t="s">
        <v>70</v>
      </c>
      <c r="I309" s="25" t="s">
        <v>71</v>
      </c>
      <c r="J309" s="27">
        <v>4000</v>
      </c>
      <c r="K309" s="28">
        <v>18</v>
      </c>
      <c r="L309" s="29"/>
      <c r="M309" s="29">
        <f>L309*K309</f>
        <v>0</v>
      </c>
      <c r="N309" s="30">
        <v>4690368031035</v>
      </c>
    </row>
    <row r="310" spans="1:14" ht="34.5" customHeight="1" outlineLevel="3">
      <c r="A310" s="32">
        <v>14648</v>
      </c>
      <c r="B310" s="23" t="str">
        <f>HYPERLINK("http://sedek.ru/upload/iblock/a81/tomat_nepasynkuyushchiysya.jpg","фото")</f>
        <v>фото</v>
      </c>
      <c r="C310" s="24"/>
      <c r="D310" s="24"/>
      <c r="E310" s="25" t="s">
        <v>375</v>
      </c>
      <c r="F310" s="25" t="s">
        <v>377</v>
      </c>
      <c r="G310" s="31">
        <v>0.1</v>
      </c>
      <c r="H310" s="25" t="s">
        <v>70</v>
      </c>
      <c r="I310" s="25" t="s">
        <v>71</v>
      </c>
      <c r="J310" s="27">
        <v>4000</v>
      </c>
      <c r="K310" s="28">
        <v>15.4</v>
      </c>
      <c r="L310" s="29"/>
      <c r="M310" s="29">
        <f>L310*K310</f>
        <v>0</v>
      </c>
      <c r="N310" s="30">
        <v>4607149405022</v>
      </c>
    </row>
    <row r="311" spans="1:14" ht="34.5" customHeight="1" outlineLevel="3">
      <c r="A311" s="22" t="s">
        <v>378</v>
      </c>
      <c r="B311" s="23" t="str">
        <f>HYPERLINK("http://www.sedek.ru/upload/iblock/ab6/tomat_nepas_10_nepasynkuyushchiysya_polosatyy.jpg","Фото")</f>
        <v>Фото</v>
      </c>
      <c r="C311" s="24"/>
      <c r="D311" s="24"/>
      <c r="E311" s="25" t="s">
        <v>375</v>
      </c>
      <c r="F311" s="25" t="s">
        <v>379</v>
      </c>
      <c r="G311" s="31">
        <v>0.1</v>
      </c>
      <c r="H311" s="25" t="s">
        <v>70</v>
      </c>
      <c r="I311" s="25" t="s">
        <v>71</v>
      </c>
      <c r="J311" s="27">
        <v>4000</v>
      </c>
      <c r="K311" s="28">
        <v>16</v>
      </c>
      <c r="L311" s="29"/>
      <c r="M311" s="29">
        <f>L311*K311</f>
        <v>0</v>
      </c>
      <c r="N311" s="30">
        <v>4690368028479</v>
      </c>
    </row>
    <row r="312" spans="1:14" ht="23.25" customHeight="1" outlineLevel="3">
      <c r="A312" s="32">
        <v>14263</v>
      </c>
      <c r="B312" s="23" t="str">
        <f>HYPERLINK("http://sedek.ru/upload/iblock/26d/tomat_neptun_f1.jpg","фото")</f>
        <v>фото</v>
      </c>
      <c r="C312" s="24"/>
      <c r="D312" s="24"/>
      <c r="E312" s="25"/>
      <c r="F312" s="25" t="s">
        <v>380</v>
      </c>
      <c r="G312" s="33">
        <v>0.05</v>
      </c>
      <c r="H312" s="25" t="s">
        <v>70</v>
      </c>
      <c r="I312" s="25" t="s">
        <v>71</v>
      </c>
      <c r="J312" s="27">
        <v>5000</v>
      </c>
      <c r="K312" s="28">
        <v>20.7</v>
      </c>
      <c r="L312" s="29"/>
      <c r="M312" s="29">
        <f>L312*K312</f>
        <v>0</v>
      </c>
      <c r="N312" s="30">
        <v>4607149409112</v>
      </c>
    </row>
    <row r="313" spans="1:14" ht="23.25" customHeight="1" outlineLevel="3">
      <c r="A313" s="32">
        <v>15377</v>
      </c>
      <c r="B313" s="23" t="str">
        <f>HYPERLINK("http://sedek.ru/upload/iblock/8ee/tomat_nikola.jpg","фото")</f>
        <v>фото</v>
      </c>
      <c r="C313" s="24"/>
      <c r="D313" s="24"/>
      <c r="E313" s="25"/>
      <c r="F313" s="25" t="s">
        <v>381</v>
      </c>
      <c r="G313" s="31">
        <v>0.1</v>
      </c>
      <c r="H313" s="25" t="s">
        <v>70</v>
      </c>
      <c r="I313" s="25" t="s">
        <v>71</v>
      </c>
      <c r="J313" s="27">
        <v>4000</v>
      </c>
      <c r="K313" s="28">
        <v>15.2</v>
      </c>
      <c r="L313" s="29"/>
      <c r="M313" s="29">
        <f>L313*K313</f>
        <v>0</v>
      </c>
      <c r="N313" s="30">
        <v>4690368007436</v>
      </c>
    </row>
    <row r="314" spans="1:14" ht="23.25" customHeight="1" outlineLevel="3">
      <c r="A314" s="32">
        <v>15523</v>
      </c>
      <c r="B314" s="23" t="str">
        <f>HYPERLINK("http://sedek.ru/upload/iblock/75f/tomat_novinka_pridnestrovya.jpg","фото")</f>
        <v>фото</v>
      </c>
      <c r="C314" s="24"/>
      <c r="D314" s="24"/>
      <c r="E314" s="25"/>
      <c r="F314" s="25" t="s">
        <v>382</v>
      </c>
      <c r="G314" s="31">
        <v>0.2</v>
      </c>
      <c r="H314" s="25" t="s">
        <v>70</v>
      </c>
      <c r="I314" s="25" t="s">
        <v>71</v>
      </c>
      <c r="J314" s="27">
        <v>3000</v>
      </c>
      <c r="K314" s="28">
        <v>15.3</v>
      </c>
      <c r="L314" s="29"/>
      <c r="M314" s="29">
        <f>L314*K314</f>
        <v>0</v>
      </c>
      <c r="N314" s="30">
        <v>4607116260944</v>
      </c>
    </row>
    <row r="315" spans="1:14" ht="23.25" customHeight="1" outlineLevel="3">
      <c r="A315" s="32">
        <v>15359</v>
      </c>
      <c r="B315" s="23" t="str">
        <f>HYPERLINK("http://www.sedek.ru/upload/iblock/61d/tomat_novichok.jpg","фото")</f>
        <v>фото</v>
      </c>
      <c r="C315" s="24"/>
      <c r="D315" s="24"/>
      <c r="E315" s="25"/>
      <c r="F315" s="25" t="s">
        <v>383</v>
      </c>
      <c r="G315" s="31">
        <v>0.2</v>
      </c>
      <c r="H315" s="25" t="s">
        <v>70</v>
      </c>
      <c r="I315" s="25" t="s">
        <v>71</v>
      </c>
      <c r="J315" s="27">
        <v>3000</v>
      </c>
      <c r="K315" s="28">
        <v>13.9</v>
      </c>
      <c r="L315" s="29"/>
      <c r="M315" s="29">
        <f>L315*K315</f>
        <v>0</v>
      </c>
      <c r="N315" s="30">
        <v>4607116260951</v>
      </c>
    </row>
    <row r="316" spans="1:14" ht="34.5" customHeight="1" outlineLevel="3">
      <c r="A316" s="22" t="s">
        <v>384</v>
      </c>
      <c r="B316" s="23" t="str">
        <f>HYPERLINK("http://sedek.ru/upload/iblock/590/tomat_ogni_moskvy.jpg","фото")</f>
        <v>фото</v>
      </c>
      <c r="C316" s="24"/>
      <c r="D316" s="24"/>
      <c r="E316" s="25"/>
      <c r="F316" s="25" t="s">
        <v>385</v>
      </c>
      <c r="G316" s="31">
        <v>0.1</v>
      </c>
      <c r="H316" s="25" t="s">
        <v>70</v>
      </c>
      <c r="I316" s="25" t="s">
        <v>71</v>
      </c>
      <c r="J316" s="27">
        <v>4000</v>
      </c>
      <c r="K316" s="28">
        <v>15.2</v>
      </c>
      <c r="L316" s="29"/>
      <c r="M316" s="29">
        <f>L316*K316</f>
        <v>0</v>
      </c>
      <c r="N316" s="30">
        <v>4607116260968</v>
      </c>
    </row>
    <row r="317" spans="1:14" ht="23.25" customHeight="1" outlineLevel="3">
      <c r="A317" s="32">
        <v>17005</v>
      </c>
      <c r="B317" s="23" t="str">
        <f>HYPERLINK("http://www.sedek.ru/upload/iblock/b08/tomat_ogorodnik.jpg","Фото")</f>
        <v>Фото</v>
      </c>
      <c r="C317" s="24"/>
      <c r="D317" s="24"/>
      <c r="E317" s="25"/>
      <c r="F317" s="25" t="s">
        <v>386</v>
      </c>
      <c r="G317" s="31">
        <v>0.1</v>
      </c>
      <c r="H317" s="25" t="s">
        <v>70</v>
      </c>
      <c r="I317" s="25" t="s">
        <v>71</v>
      </c>
      <c r="J317" s="27">
        <v>4000</v>
      </c>
      <c r="K317" s="28">
        <v>16.1</v>
      </c>
      <c r="L317" s="29"/>
      <c r="M317" s="29">
        <f>L317*K317</f>
        <v>0</v>
      </c>
      <c r="N317" s="30">
        <v>4690368025461</v>
      </c>
    </row>
    <row r="318" spans="1:14" ht="23.25" customHeight="1" outlineLevel="3">
      <c r="A318" s="32">
        <v>15549</v>
      </c>
      <c r="B318" s="23" t="str">
        <f>HYPERLINK("http://sedek.ru/upload/iblock/cff/tomat_oranzhevye_slivki.jpg","фото")</f>
        <v>фото</v>
      </c>
      <c r="C318" s="24"/>
      <c r="D318" s="24"/>
      <c r="E318" s="25"/>
      <c r="F318" s="25" t="s">
        <v>387</v>
      </c>
      <c r="G318" s="31">
        <v>0.1</v>
      </c>
      <c r="H318" s="25" t="s">
        <v>70</v>
      </c>
      <c r="I318" s="25" t="s">
        <v>71</v>
      </c>
      <c r="J318" s="27">
        <v>4000</v>
      </c>
      <c r="K318" s="28">
        <v>16.1</v>
      </c>
      <c r="L318" s="29"/>
      <c r="M318" s="29">
        <f>L318*K318</f>
        <v>0</v>
      </c>
      <c r="N318" s="30">
        <v>4607116261026</v>
      </c>
    </row>
    <row r="319" spans="1:14" ht="34.5" customHeight="1" outlineLevel="3">
      <c r="A319" s="32">
        <v>15390</v>
      </c>
      <c r="B319" s="23" t="str">
        <f>HYPERLINK("http://sedek.ru/upload/iblock/fdf/tomat_parnikovoe_chudo_f1.jpg","фото")</f>
        <v>фото</v>
      </c>
      <c r="C319" s="24"/>
      <c r="D319" s="24"/>
      <c r="E319" s="25"/>
      <c r="F319" s="25" t="s">
        <v>388</v>
      </c>
      <c r="G319" s="31">
        <v>0.1</v>
      </c>
      <c r="H319" s="25" t="s">
        <v>70</v>
      </c>
      <c r="I319" s="25" t="s">
        <v>71</v>
      </c>
      <c r="J319" s="27">
        <v>4000</v>
      </c>
      <c r="K319" s="28">
        <v>17.2</v>
      </c>
      <c r="L319" s="29"/>
      <c r="M319" s="29">
        <f>L319*K319</f>
        <v>0</v>
      </c>
      <c r="N319" s="30">
        <v>4690368005982</v>
      </c>
    </row>
    <row r="320" spans="1:14" ht="23.25" customHeight="1" outlineLevel="3">
      <c r="A320" s="32">
        <v>14408</v>
      </c>
      <c r="B320" s="23" t="str">
        <f>HYPERLINK("http://sedek.ru/upload/iblock/d80/tomat_parnikovyy_krupnoplodnyy.jpg","фото")</f>
        <v>фото</v>
      </c>
      <c r="C320" s="24"/>
      <c r="D320" s="24"/>
      <c r="E320" s="25"/>
      <c r="F320" s="25" t="s">
        <v>389</v>
      </c>
      <c r="G320" s="33">
        <v>0.05</v>
      </c>
      <c r="H320" s="25" t="s">
        <v>70</v>
      </c>
      <c r="I320" s="25" t="s">
        <v>71</v>
      </c>
      <c r="J320" s="27">
        <v>5000</v>
      </c>
      <c r="K320" s="28">
        <v>23.8</v>
      </c>
      <c r="L320" s="29"/>
      <c r="M320" s="29">
        <f>L320*K320</f>
        <v>0</v>
      </c>
      <c r="N320" s="30">
        <v>4690368007429</v>
      </c>
    </row>
    <row r="321" spans="1:14" ht="34.5" customHeight="1" outlineLevel="3">
      <c r="A321" s="32">
        <v>16174</v>
      </c>
      <c r="B321" s="23" t="str">
        <f>HYPERLINK("http://sedek.ru/upload/iblock/96b/tomat_parnikovyy_urozhaynyy_f1.jpg","фото")</f>
        <v>фото</v>
      </c>
      <c r="C321" s="24"/>
      <c r="D321" s="24"/>
      <c r="E321" s="25"/>
      <c r="F321" s="25" t="s">
        <v>390</v>
      </c>
      <c r="G321" s="33">
        <v>0.05</v>
      </c>
      <c r="H321" s="25" t="s">
        <v>70</v>
      </c>
      <c r="I321" s="25" t="s">
        <v>71</v>
      </c>
      <c r="J321" s="27">
        <v>5000</v>
      </c>
      <c r="K321" s="28">
        <v>23.8</v>
      </c>
      <c r="L321" s="29"/>
      <c r="M321" s="29">
        <f>L321*K321</f>
        <v>0</v>
      </c>
      <c r="N321" s="30">
        <v>4690368005999</v>
      </c>
    </row>
    <row r="322" spans="1:14" ht="23.25" customHeight="1" outlineLevel="3">
      <c r="A322" s="32">
        <v>13707</v>
      </c>
      <c r="B322" s="23" t="str">
        <f>HYPERLINK("http://sedek.ru/upload/iblock/32d/tomat_persik_krasnyy.jpg","фото")</f>
        <v>фото</v>
      </c>
      <c r="C322" s="24"/>
      <c r="D322" s="24"/>
      <c r="E322" s="25"/>
      <c r="F322" s="25" t="s">
        <v>391</v>
      </c>
      <c r="G322" s="31">
        <v>0.1</v>
      </c>
      <c r="H322" s="25" t="s">
        <v>70</v>
      </c>
      <c r="I322" s="25" t="s">
        <v>71</v>
      </c>
      <c r="J322" s="27">
        <v>4000</v>
      </c>
      <c r="K322" s="28">
        <v>15.3</v>
      </c>
      <c r="L322" s="29"/>
      <c r="M322" s="29">
        <f>L322*K322</f>
        <v>0</v>
      </c>
      <c r="N322" s="30">
        <v>4690368022293</v>
      </c>
    </row>
    <row r="323" spans="1:14" ht="23.25" customHeight="1" outlineLevel="3">
      <c r="A323" s="22" t="s">
        <v>392</v>
      </c>
      <c r="B323" s="23" t="str">
        <f>HYPERLINK("http://www.sedek.ru/upload/iblock/a30/tomat_pertsevidnyy_oranzhevyy.jpg","Фото")</f>
        <v>Фото</v>
      </c>
      <c r="C323" s="24"/>
      <c r="D323" s="24"/>
      <c r="E323" s="25"/>
      <c r="F323" s="25" t="s">
        <v>393</v>
      </c>
      <c r="G323" s="31">
        <v>0.1</v>
      </c>
      <c r="H323" s="25" t="s">
        <v>70</v>
      </c>
      <c r="I323" s="25" t="s">
        <v>71</v>
      </c>
      <c r="J323" s="27">
        <v>4000</v>
      </c>
      <c r="K323" s="28">
        <v>15.7</v>
      </c>
      <c r="L323" s="29"/>
      <c r="M323" s="29">
        <f>L323*K323</f>
        <v>0</v>
      </c>
      <c r="N323" s="30">
        <v>4690368030717</v>
      </c>
    </row>
    <row r="324" spans="1:14" ht="23.25" customHeight="1" outlineLevel="3">
      <c r="A324" s="32">
        <v>16254</v>
      </c>
      <c r="B324" s="23" t="str">
        <f>HYPERLINK("http://sedek.ru/upload/iblock/153/tomat_petr_pervyy_f1.jpg","фото")</f>
        <v>фото</v>
      </c>
      <c r="C324" s="24"/>
      <c r="D324" s="24" t="s">
        <v>95</v>
      </c>
      <c r="E324" s="25" t="s">
        <v>394</v>
      </c>
      <c r="F324" s="25" t="s">
        <v>395</v>
      </c>
      <c r="G324" s="33">
        <v>0.05</v>
      </c>
      <c r="H324" s="25" t="s">
        <v>70</v>
      </c>
      <c r="I324" s="25" t="s">
        <v>71</v>
      </c>
      <c r="J324" s="27">
        <v>5000</v>
      </c>
      <c r="K324" s="28">
        <v>34.9</v>
      </c>
      <c r="L324" s="29"/>
      <c r="M324" s="29">
        <f>L324*K324</f>
        <v>0</v>
      </c>
      <c r="N324" s="30">
        <v>4690368015035</v>
      </c>
    </row>
    <row r="325" spans="1:14" ht="23.25" customHeight="1" outlineLevel="3">
      <c r="A325" s="32">
        <v>15845</v>
      </c>
      <c r="B325" s="23" t="str">
        <f>HYPERLINK("http://sedek.ru/upload/iblock/527/tomat_pyshnaya_kupchishka_f1.jpg","фото")</f>
        <v>фото</v>
      </c>
      <c r="C325" s="24"/>
      <c r="D325" s="24" t="s">
        <v>95</v>
      </c>
      <c r="E325" s="25"/>
      <c r="F325" s="25" t="s">
        <v>396</v>
      </c>
      <c r="G325" s="33">
        <v>0.05</v>
      </c>
      <c r="H325" s="25" t="s">
        <v>70</v>
      </c>
      <c r="I325" s="25" t="s">
        <v>71</v>
      </c>
      <c r="J325" s="27">
        <v>5000</v>
      </c>
      <c r="K325" s="28">
        <v>35</v>
      </c>
      <c r="L325" s="29"/>
      <c r="M325" s="29">
        <f>L325*K325</f>
        <v>0</v>
      </c>
      <c r="N325" s="30">
        <v>4690368007603</v>
      </c>
    </row>
    <row r="326" spans="1:14" ht="34.5" customHeight="1" outlineLevel="3">
      <c r="A326" s="32">
        <v>15815</v>
      </c>
      <c r="B326" s="23" t="str">
        <f>HYPERLINK("http://sedek.ru/upload/iblock/8fb/tomat_raznosol.jpg","фото")</f>
        <v>фото</v>
      </c>
      <c r="C326" s="24"/>
      <c r="D326" s="24"/>
      <c r="E326" s="25"/>
      <c r="F326" s="25" t="s">
        <v>397</v>
      </c>
      <c r="G326" s="31">
        <v>0.1</v>
      </c>
      <c r="H326" s="25" t="s">
        <v>70</v>
      </c>
      <c r="I326" s="25" t="s">
        <v>71</v>
      </c>
      <c r="J326" s="27">
        <v>4000</v>
      </c>
      <c r="K326" s="28">
        <v>16.1</v>
      </c>
      <c r="L326" s="29"/>
      <c r="M326" s="29">
        <f>L326*K326</f>
        <v>0</v>
      </c>
      <c r="N326" s="30">
        <v>4690368007597</v>
      </c>
    </row>
    <row r="327" spans="1:14" ht="34.5" customHeight="1" outlineLevel="3">
      <c r="A327" s="32">
        <v>15434</v>
      </c>
      <c r="B327" s="23" t="str">
        <f>HYPERLINK("http://sedek.ru/upload/iblock/bcf/tomat_rayskaya_konfetka_f1.jpg","фото")</f>
        <v>фото</v>
      </c>
      <c r="C327" s="24"/>
      <c r="D327" s="24" t="s">
        <v>95</v>
      </c>
      <c r="E327" s="25" t="s">
        <v>398</v>
      </c>
      <c r="F327" s="25" t="s">
        <v>399</v>
      </c>
      <c r="G327" s="33">
        <v>0.05</v>
      </c>
      <c r="H327" s="25" t="s">
        <v>70</v>
      </c>
      <c r="I327" s="25" t="s">
        <v>71</v>
      </c>
      <c r="J327" s="27">
        <v>5000</v>
      </c>
      <c r="K327" s="28">
        <v>33.9</v>
      </c>
      <c r="L327" s="29"/>
      <c r="M327" s="29">
        <f>L327*K327</f>
        <v>0</v>
      </c>
      <c r="N327" s="30">
        <v>4607149404964</v>
      </c>
    </row>
    <row r="328" spans="1:14" ht="34.5" customHeight="1" outlineLevel="3">
      <c r="A328" s="32">
        <v>16345</v>
      </c>
      <c r="B328" s="23" t="str">
        <f>HYPERLINK("http://sedek.ru/upload/iblock/38d/tomat_rayskoe_naslazhdenie.jpg","фото")</f>
        <v>фото</v>
      </c>
      <c r="C328" s="24"/>
      <c r="D328" s="24"/>
      <c r="E328" s="25"/>
      <c r="F328" s="25" t="s">
        <v>400</v>
      </c>
      <c r="G328" s="31">
        <v>0.1</v>
      </c>
      <c r="H328" s="25" t="s">
        <v>70</v>
      </c>
      <c r="I328" s="25" t="s">
        <v>71</v>
      </c>
      <c r="J328" s="27">
        <v>4000</v>
      </c>
      <c r="K328" s="28">
        <v>15.3</v>
      </c>
      <c r="L328" s="29"/>
      <c r="M328" s="29">
        <f>L328*K328</f>
        <v>0</v>
      </c>
      <c r="N328" s="30">
        <v>4607116261217</v>
      </c>
    </row>
    <row r="329" spans="1:14" ht="34.5" customHeight="1" outlineLevel="3">
      <c r="A329" s="32">
        <v>15885</v>
      </c>
      <c r="B329" s="23" t="str">
        <f>HYPERLINK("http://sedek.ru/upload/iblock/38d/tomat_rayskoe_yablochko.jpg","фото")</f>
        <v>фото</v>
      </c>
      <c r="C329" s="24"/>
      <c r="D329" s="24"/>
      <c r="E329" s="25"/>
      <c r="F329" s="25" t="s">
        <v>401</v>
      </c>
      <c r="G329" s="31">
        <v>0.2</v>
      </c>
      <c r="H329" s="25" t="s">
        <v>70</v>
      </c>
      <c r="I329" s="25" t="s">
        <v>71</v>
      </c>
      <c r="J329" s="27">
        <v>3000</v>
      </c>
      <c r="K329" s="28">
        <v>15.2</v>
      </c>
      <c r="L329" s="29"/>
      <c r="M329" s="29">
        <f>L329*K329</f>
        <v>0</v>
      </c>
      <c r="N329" s="30">
        <v>4607149405046</v>
      </c>
    </row>
    <row r="330" spans="1:14" ht="34.5" customHeight="1" outlineLevel="3">
      <c r="A330" s="32">
        <v>16401</v>
      </c>
      <c r="B330" s="23" t="str">
        <f>HYPERLINK("http://sedek.ru/upload/iblock/fa9/tomat_ranniy_gruntovyy.jpg","фото")</f>
        <v>фото</v>
      </c>
      <c r="C330" s="24"/>
      <c r="D330" s="24"/>
      <c r="E330" s="25"/>
      <c r="F330" s="25" t="s">
        <v>402</v>
      </c>
      <c r="G330" s="31">
        <v>0.2</v>
      </c>
      <c r="H330" s="25" t="s">
        <v>70</v>
      </c>
      <c r="I330" s="25" t="s">
        <v>71</v>
      </c>
      <c r="J330" s="27">
        <v>3000</v>
      </c>
      <c r="K330" s="28">
        <v>15.2</v>
      </c>
      <c r="L330" s="29"/>
      <c r="M330" s="29">
        <f>L330*K330</f>
        <v>0</v>
      </c>
      <c r="N330" s="30">
        <v>4607116261224</v>
      </c>
    </row>
    <row r="331" spans="1:14" ht="23.25" customHeight="1" outlineLevel="3">
      <c r="A331" s="32">
        <v>15919</v>
      </c>
      <c r="B331" s="23" t="str">
        <f>HYPERLINK("http://sedek.ru/upload/iblock/41f/tomat_rozovoe_chudo_f1.JPG","фото")</f>
        <v>фото</v>
      </c>
      <c r="C331" s="24"/>
      <c r="D331" s="24"/>
      <c r="E331" s="25"/>
      <c r="F331" s="25" t="s">
        <v>403</v>
      </c>
      <c r="G331" s="33">
        <v>0.05</v>
      </c>
      <c r="H331" s="25" t="s">
        <v>70</v>
      </c>
      <c r="I331" s="25" t="s">
        <v>71</v>
      </c>
      <c r="J331" s="27">
        <v>5000</v>
      </c>
      <c r="K331" s="28">
        <v>32.1</v>
      </c>
      <c r="L331" s="29"/>
      <c r="M331" s="29">
        <f>L331*K331</f>
        <v>0</v>
      </c>
      <c r="N331" s="30">
        <v>4690368013031</v>
      </c>
    </row>
    <row r="332" spans="1:14" ht="34.5" customHeight="1" outlineLevel="3">
      <c r="A332" s="32">
        <v>16207</v>
      </c>
      <c r="B332" s="23" t="str">
        <f>HYPERLINK("http://sedek.ru/upload/iblock/ff2/tomat_rozovyy_lider.jpg","фото")</f>
        <v>фото</v>
      </c>
      <c r="C332" s="24"/>
      <c r="D332" s="24"/>
      <c r="E332" s="25" t="s">
        <v>300</v>
      </c>
      <c r="F332" s="25" t="s">
        <v>404</v>
      </c>
      <c r="G332" s="31">
        <v>0.1</v>
      </c>
      <c r="H332" s="25" t="s">
        <v>70</v>
      </c>
      <c r="I332" s="25" t="s">
        <v>71</v>
      </c>
      <c r="J332" s="27">
        <v>4000</v>
      </c>
      <c r="K332" s="28">
        <v>16.1</v>
      </c>
      <c r="L332" s="29"/>
      <c r="M332" s="29">
        <f>L332*K332</f>
        <v>0</v>
      </c>
      <c r="N332" s="30">
        <v>4607116261347</v>
      </c>
    </row>
    <row r="333" spans="1:14" ht="23.25" customHeight="1" outlineLevel="3">
      <c r="A333" s="32">
        <v>16993</v>
      </c>
      <c r="B333" s="23" t="str">
        <f>HYPERLINK("http://sedek.ru/upload/iblock/ecf/tomat_rozovyy_tsar.jpg","фото")</f>
        <v>фото</v>
      </c>
      <c r="C333" s="24"/>
      <c r="D333" s="24"/>
      <c r="E333" s="25"/>
      <c r="F333" s="25" t="s">
        <v>405</v>
      </c>
      <c r="G333" s="31">
        <v>0.1</v>
      </c>
      <c r="H333" s="25" t="s">
        <v>70</v>
      </c>
      <c r="I333" s="25" t="s">
        <v>71</v>
      </c>
      <c r="J333" s="27">
        <v>4000</v>
      </c>
      <c r="K333" s="28">
        <v>20.6</v>
      </c>
      <c r="L333" s="29"/>
      <c r="M333" s="29">
        <f>L333*K333</f>
        <v>0</v>
      </c>
      <c r="N333" s="30">
        <v>4607149405039</v>
      </c>
    </row>
    <row r="334" spans="1:14" ht="23.25" customHeight="1" outlineLevel="3">
      <c r="A334" s="32">
        <v>15234</v>
      </c>
      <c r="B334" s="23" t="str">
        <f>HYPERLINK("http://www.sedek.ru/upload/iblock/843/tomat_russkiy_bogatyr.jpg","фото")</f>
        <v>фото</v>
      </c>
      <c r="C334" s="24"/>
      <c r="D334" s="24"/>
      <c r="E334" s="25"/>
      <c r="F334" s="25" t="s">
        <v>406</v>
      </c>
      <c r="G334" s="31">
        <v>0.1</v>
      </c>
      <c r="H334" s="25" t="s">
        <v>70</v>
      </c>
      <c r="I334" s="25" t="s">
        <v>71</v>
      </c>
      <c r="J334" s="27">
        <v>4000</v>
      </c>
      <c r="K334" s="28">
        <v>16.1</v>
      </c>
      <c r="L334" s="29"/>
      <c r="M334" s="29">
        <f>L334*K334</f>
        <v>0</v>
      </c>
      <c r="N334" s="30">
        <v>4607116261378</v>
      </c>
    </row>
    <row r="335" spans="1:14" ht="34.5" customHeight="1" outlineLevel="3">
      <c r="A335" s="32">
        <v>14420</v>
      </c>
      <c r="B335" s="23" t="str">
        <f>HYPERLINK("http://sedek.ru/upload/iblock/d36/tomat_russkiy_vityaz_f1.jpg","фото")</f>
        <v>фото</v>
      </c>
      <c r="C335" s="24"/>
      <c r="D335" s="24"/>
      <c r="E335" s="25"/>
      <c r="F335" s="25" t="s">
        <v>407</v>
      </c>
      <c r="G335" s="33">
        <v>0.05</v>
      </c>
      <c r="H335" s="25" t="s">
        <v>70</v>
      </c>
      <c r="I335" s="25" t="s">
        <v>71</v>
      </c>
      <c r="J335" s="27">
        <v>5000</v>
      </c>
      <c r="K335" s="28">
        <v>27.4</v>
      </c>
      <c r="L335" s="29"/>
      <c r="M335" s="29">
        <f>L335*K335</f>
        <v>0</v>
      </c>
      <c r="N335" s="30">
        <v>4690368014632</v>
      </c>
    </row>
    <row r="336" spans="1:14" ht="23.25" customHeight="1" outlineLevel="3">
      <c r="A336" s="32">
        <v>14421</v>
      </c>
      <c r="B336" s="23" t="str">
        <f>HYPERLINK("http://sedek.ru/upload/iblock/116/tomat_russkiy_tsar_f1.jpg","фото")</f>
        <v>фото</v>
      </c>
      <c r="C336" s="24"/>
      <c r="D336" s="24"/>
      <c r="E336" s="25" t="s">
        <v>394</v>
      </c>
      <c r="F336" s="25" t="s">
        <v>408</v>
      </c>
      <c r="G336" s="33">
        <v>0.05</v>
      </c>
      <c r="H336" s="25" t="s">
        <v>70</v>
      </c>
      <c r="I336" s="25" t="s">
        <v>71</v>
      </c>
      <c r="J336" s="27">
        <v>5000</v>
      </c>
      <c r="K336" s="28">
        <v>24.3</v>
      </c>
      <c r="L336" s="29"/>
      <c r="M336" s="29">
        <f>L336*K336</f>
        <v>0</v>
      </c>
      <c r="N336" s="30">
        <v>4690368014656</v>
      </c>
    </row>
    <row r="337" spans="1:14" ht="23.25" customHeight="1" outlineLevel="3">
      <c r="A337" s="32">
        <v>15179</v>
      </c>
      <c r="B337" s="23" t="str">
        <f>HYPERLINK("http://sedek.ru/upload/iblock/8ef/tomat_ryabchik.jpg","фото")</f>
        <v>фото</v>
      </c>
      <c r="C337" s="24"/>
      <c r="D337" s="24"/>
      <c r="E337" s="25"/>
      <c r="F337" s="25" t="s">
        <v>409</v>
      </c>
      <c r="G337" s="31">
        <v>0.2</v>
      </c>
      <c r="H337" s="25" t="s">
        <v>70</v>
      </c>
      <c r="I337" s="25" t="s">
        <v>71</v>
      </c>
      <c r="J337" s="27">
        <v>3000</v>
      </c>
      <c r="K337" s="28">
        <v>15.3</v>
      </c>
      <c r="L337" s="29"/>
      <c r="M337" s="29">
        <f>L337*K337</f>
        <v>0</v>
      </c>
      <c r="N337" s="30">
        <v>4607116261385</v>
      </c>
    </row>
    <row r="338" spans="1:14" ht="34.5" customHeight="1" outlineLevel="3">
      <c r="A338" s="32">
        <v>14669</v>
      </c>
      <c r="B338" s="23" t="str">
        <f>HYPERLINK("http://sedek.ru/upload/iblock/859/tomat_sadovaya_zhemchuzhina.jpg","фото")</f>
        <v>фото</v>
      </c>
      <c r="C338" s="24"/>
      <c r="D338" s="24" t="s">
        <v>95</v>
      </c>
      <c r="E338" s="25"/>
      <c r="F338" s="25" t="s">
        <v>410</v>
      </c>
      <c r="G338" s="31">
        <v>0.2</v>
      </c>
      <c r="H338" s="25" t="s">
        <v>70</v>
      </c>
      <c r="I338" s="25" t="s">
        <v>71</v>
      </c>
      <c r="J338" s="27">
        <v>3000</v>
      </c>
      <c r="K338" s="28">
        <v>15.3</v>
      </c>
      <c r="L338" s="29"/>
      <c r="M338" s="29">
        <f>L338*K338</f>
        <v>0</v>
      </c>
      <c r="N338" s="30">
        <v>4607116261392</v>
      </c>
    </row>
    <row r="339" spans="1:14" ht="34.5" customHeight="1" outlineLevel="3">
      <c r="A339" s="22" t="s">
        <v>411</v>
      </c>
      <c r="B339" s="23" t="str">
        <f>HYPERLINK("http://sedek.ru/upload/iblock/3b8/tomat_sambol_polosatyy.jpg","фото")</f>
        <v>фото</v>
      </c>
      <c r="C339" s="24" t="s">
        <v>95</v>
      </c>
      <c r="D339" s="24"/>
      <c r="E339" s="25" t="s">
        <v>412</v>
      </c>
      <c r="F339" s="25" t="s">
        <v>413</v>
      </c>
      <c r="G339" s="31">
        <v>0.1</v>
      </c>
      <c r="H339" s="25" t="s">
        <v>70</v>
      </c>
      <c r="I339" s="25" t="s">
        <v>71</v>
      </c>
      <c r="J339" s="27">
        <v>3000</v>
      </c>
      <c r="K339" s="28">
        <v>36.3</v>
      </c>
      <c r="L339" s="29"/>
      <c r="M339" s="29">
        <f>L339*K339</f>
        <v>0</v>
      </c>
      <c r="N339" s="30">
        <v>4690368039567</v>
      </c>
    </row>
    <row r="340" spans="1:14" ht="34.5" customHeight="1" outlineLevel="3">
      <c r="A340" s="32">
        <v>14750</v>
      </c>
      <c r="B340" s="23" t="str">
        <f>HYPERLINK("http://sedek.ru/upload/iblock/4de/tomat_samotsvet_zolotoy_f1.jpg","фото")</f>
        <v>фото</v>
      </c>
      <c r="C340" s="24"/>
      <c r="D340" s="24"/>
      <c r="E340" s="25"/>
      <c r="F340" s="25" t="s">
        <v>414</v>
      </c>
      <c r="G340" s="33">
        <v>0.05</v>
      </c>
      <c r="H340" s="25" t="s">
        <v>70</v>
      </c>
      <c r="I340" s="25" t="s">
        <v>71</v>
      </c>
      <c r="J340" s="27">
        <v>5000</v>
      </c>
      <c r="K340" s="28">
        <v>19.3</v>
      </c>
      <c r="L340" s="29"/>
      <c r="M340" s="29">
        <f>L340*K340</f>
        <v>0</v>
      </c>
      <c r="N340" s="30">
        <v>4607149405091</v>
      </c>
    </row>
    <row r="341" spans="1:14" ht="34.5" customHeight="1" outlineLevel="3">
      <c r="A341" s="32">
        <v>15543</v>
      </c>
      <c r="B341" s="23" t="str">
        <f>HYPERLINK("http://sedek.ru/upload/iblock/7cc/tomat_samotsvet_izumrudnyy_f1.jpg","фото")</f>
        <v>фото</v>
      </c>
      <c r="C341" s="24"/>
      <c r="D341" s="24" t="s">
        <v>95</v>
      </c>
      <c r="E341" s="25" t="s">
        <v>398</v>
      </c>
      <c r="F341" s="25" t="s">
        <v>415</v>
      </c>
      <c r="G341" s="31">
        <v>0.1</v>
      </c>
      <c r="H341" s="25" t="s">
        <v>70</v>
      </c>
      <c r="I341" s="25" t="s">
        <v>71</v>
      </c>
      <c r="J341" s="27">
        <v>5000</v>
      </c>
      <c r="K341" s="28">
        <v>22.7</v>
      </c>
      <c r="L341" s="29"/>
      <c r="M341" s="29">
        <f>L341*K341</f>
        <v>0</v>
      </c>
      <c r="N341" s="30">
        <v>4607149405121</v>
      </c>
    </row>
    <row r="342" spans="1:14" ht="34.5" customHeight="1" outlineLevel="3">
      <c r="A342" s="32">
        <v>16994</v>
      </c>
      <c r="B342" s="23" t="str">
        <f>HYPERLINK("http://sedek.ru/upload/iblock/84b/tomat_samotsvet_luchistyy_f1.jpg","фото")</f>
        <v>фото</v>
      </c>
      <c r="C342" s="24"/>
      <c r="D342" s="24"/>
      <c r="E342" s="25"/>
      <c r="F342" s="25" t="s">
        <v>416</v>
      </c>
      <c r="G342" s="31">
        <v>0.1</v>
      </c>
      <c r="H342" s="25" t="s">
        <v>70</v>
      </c>
      <c r="I342" s="25" t="s">
        <v>71</v>
      </c>
      <c r="J342" s="27">
        <v>5000</v>
      </c>
      <c r="K342" s="28">
        <v>18.3</v>
      </c>
      <c r="L342" s="29"/>
      <c r="M342" s="29">
        <f>L342*K342</f>
        <v>0</v>
      </c>
      <c r="N342" s="30">
        <v>4607149405107</v>
      </c>
    </row>
    <row r="343" spans="1:14" ht="34.5" customHeight="1" outlineLevel="3">
      <c r="A343" s="32">
        <v>13550</v>
      </c>
      <c r="B343" s="23" t="str">
        <f>HYPERLINK("http://sedek.ru/upload/iblock/567/tomat_samotsvet_nefritovyy_f1.JPG","фото")</f>
        <v>фото</v>
      </c>
      <c r="C343" s="24"/>
      <c r="D343" s="24" t="s">
        <v>95</v>
      </c>
      <c r="E343" s="25" t="s">
        <v>398</v>
      </c>
      <c r="F343" s="25" t="s">
        <v>417</v>
      </c>
      <c r="G343" s="31">
        <v>0.1</v>
      </c>
      <c r="H343" s="25" t="s">
        <v>70</v>
      </c>
      <c r="I343" s="25" t="s">
        <v>71</v>
      </c>
      <c r="J343" s="27">
        <v>5000</v>
      </c>
      <c r="K343" s="28">
        <v>22.7</v>
      </c>
      <c r="L343" s="29"/>
      <c r="M343" s="29">
        <f>L343*K343</f>
        <v>0</v>
      </c>
      <c r="N343" s="30">
        <v>4607149405114</v>
      </c>
    </row>
    <row r="344" spans="1:14" ht="34.5" customHeight="1" outlineLevel="3">
      <c r="A344" s="32">
        <v>16364</v>
      </c>
      <c r="B344" s="23" t="str">
        <f>HYPERLINK("http://sedek.ru/upload/iblock/d8e/tomat_samotsvet_sakharnyy.jpg","фото")</f>
        <v>фото</v>
      </c>
      <c r="C344" s="24"/>
      <c r="D344" s="24"/>
      <c r="E344" s="25"/>
      <c r="F344" s="25" t="s">
        <v>418</v>
      </c>
      <c r="G344" s="33">
        <v>0.05</v>
      </c>
      <c r="H344" s="25" t="s">
        <v>70</v>
      </c>
      <c r="I344" s="25" t="s">
        <v>71</v>
      </c>
      <c r="J344" s="27">
        <v>5000</v>
      </c>
      <c r="K344" s="28">
        <v>19.3</v>
      </c>
      <c r="L344" s="29"/>
      <c r="M344" s="29">
        <f>L344*K344</f>
        <v>0</v>
      </c>
      <c r="N344" s="30">
        <v>4607149405138</v>
      </c>
    </row>
    <row r="345" spans="1:14" ht="23.25" customHeight="1" outlineLevel="3">
      <c r="A345" s="22" t="s">
        <v>419</v>
      </c>
      <c r="B345" s="23" t="str">
        <f>HYPERLINK("http://www.sedek.ru/upload/iblock/29d/tomat_samran_samyy_ranniy.jpg","фото")</f>
        <v>фото</v>
      </c>
      <c r="C345" s="24"/>
      <c r="D345" s="24"/>
      <c r="E345" s="25"/>
      <c r="F345" s="25" t="s">
        <v>420</v>
      </c>
      <c r="G345" s="31">
        <v>0.1</v>
      </c>
      <c r="H345" s="25" t="s">
        <v>70</v>
      </c>
      <c r="I345" s="25" t="s">
        <v>71</v>
      </c>
      <c r="J345" s="27">
        <v>4000</v>
      </c>
      <c r="K345" s="28">
        <v>16.8</v>
      </c>
      <c r="L345" s="29"/>
      <c r="M345" s="29">
        <f>L345*K345</f>
        <v>0</v>
      </c>
      <c r="N345" s="30">
        <v>4690368031417</v>
      </c>
    </row>
    <row r="346" spans="1:14" ht="34.5" customHeight="1" outlineLevel="3">
      <c r="A346" s="32">
        <v>15103</v>
      </c>
      <c r="B346" s="23" t="str">
        <f>HYPERLINK("http://sedek.ru/upload/iblock/329/tomat_sancho_pansa_f1.jpg","фото")</f>
        <v>фото</v>
      </c>
      <c r="C346" s="24"/>
      <c r="D346" s="24"/>
      <c r="E346" s="25"/>
      <c r="F346" s="25" t="s">
        <v>421</v>
      </c>
      <c r="G346" s="31">
        <v>0.1</v>
      </c>
      <c r="H346" s="25" t="s">
        <v>70</v>
      </c>
      <c r="I346" s="25" t="s">
        <v>71</v>
      </c>
      <c r="J346" s="27">
        <v>4000</v>
      </c>
      <c r="K346" s="28">
        <v>15.5</v>
      </c>
      <c r="L346" s="29"/>
      <c r="M346" s="29">
        <f>L346*K346</f>
        <v>0</v>
      </c>
      <c r="N346" s="30">
        <v>4607015185577</v>
      </c>
    </row>
    <row r="347" spans="1:14" ht="34.5" customHeight="1" outlineLevel="3">
      <c r="A347" s="32">
        <v>16322</v>
      </c>
      <c r="B347" s="23" t="str">
        <f>HYPERLINK("http://sedek.ru/upload/iblock/3e0/tomat_sakhar_belyy.jpg","фото")</f>
        <v>фото</v>
      </c>
      <c r="C347" s="24"/>
      <c r="D347" s="24" t="s">
        <v>95</v>
      </c>
      <c r="E347" s="25" t="s">
        <v>422</v>
      </c>
      <c r="F347" s="25" t="s">
        <v>423</v>
      </c>
      <c r="G347" s="31">
        <v>0.1</v>
      </c>
      <c r="H347" s="25" t="s">
        <v>70</v>
      </c>
      <c r="I347" s="25" t="s">
        <v>71</v>
      </c>
      <c r="J347" s="27">
        <v>4000</v>
      </c>
      <c r="K347" s="28">
        <v>21.2</v>
      </c>
      <c r="L347" s="29"/>
      <c r="M347" s="29">
        <f>L347*K347</f>
        <v>0</v>
      </c>
      <c r="N347" s="30">
        <v>4607149405152</v>
      </c>
    </row>
    <row r="348" spans="1:14" ht="34.5" customHeight="1" outlineLevel="3">
      <c r="A348" s="22" t="s">
        <v>424</v>
      </c>
      <c r="B348" s="23" t="str">
        <f>HYPERLINK("http://sedek.ru/upload/iblock/f6b/tomat_sakhar_zheltyy.jpg","фото")</f>
        <v>фото</v>
      </c>
      <c r="C348" s="24"/>
      <c r="D348" s="24" t="s">
        <v>95</v>
      </c>
      <c r="E348" s="25" t="s">
        <v>422</v>
      </c>
      <c r="F348" s="25" t="s">
        <v>425</v>
      </c>
      <c r="G348" s="31">
        <v>0.1</v>
      </c>
      <c r="H348" s="25" t="s">
        <v>70</v>
      </c>
      <c r="I348" s="25" t="s">
        <v>71</v>
      </c>
      <c r="J348" s="27">
        <v>4000</v>
      </c>
      <c r="K348" s="28">
        <v>21</v>
      </c>
      <c r="L348" s="29"/>
      <c r="M348" s="29">
        <f>L348*K348</f>
        <v>0</v>
      </c>
      <c r="N348" s="30">
        <v>4690368030748</v>
      </c>
    </row>
    <row r="349" spans="1:14" ht="23.25" customHeight="1" outlineLevel="3">
      <c r="A349" s="32">
        <v>13728</v>
      </c>
      <c r="B349" s="23" t="str">
        <f>HYPERLINK("http://sedek.ru/upload/iblock/d8d/tomat_sakhar_krasnyy.jpg","фото")</f>
        <v>фото</v>
      </c>
      <c r="C349" s="24"/>
      <c r="D349" s="24" t="s">
        <v>95</v>
      </c>
      <c r="E349" s="25" t="s">
        <v>422</v>
      </c>
      <c r="F349" s="25" t="s">
        <v>426</v>
      </c>
      <c r="G349" s="31">
        <v>0.1</v>
      </c>
      <c r="H349" s="25" t="s">
        <v>70</v>
      </c>
      <c r="I349" s="25" t="s">
        <v>71</v>
      </c>
      <c r="J349" s="27">
        <v>4000</v>
      </c>
      <c r="K349" s="28">
        <v>21</v>
      </c>
      <c r="L349" s="29"/>
      <c r="M349" s="29">
        <f>L349*K349</f>
        <v>0</v>
      </c>
      <c r="N349" s="30">
        <v>4607149409082</v>
      </c>
    </row>
    <row r="350" spans="1:14" ht="34.5" customHeight="1" outlineLevel="3">
      <c r="A350" s="32">
        <v>15726</v>
      </c>
      <c r="B350" s="23" t="str">
        <f>HYPERLINK("http://sedek.ru/upload/iblock/1fd/tomat_sakharnaya_sliva_zheltaya.JPG","фото")</f>
        <v>фото</v>
      </c>
      <c r="C350" s="24"/>
      <c r="D350" s="24"/>
      <c r="E350" s="25"/>
      <c r="F350" s="25" t="s">
        <v>427</v>
      </c>
      <c r="G350" s="31">
        <v>0.2</v>
      </c>
      <c r="H350" s="25" t="s">
        <v>70</v>
      </c>
      <c r="I350" s="25" t="s">
        <v>71</v>
      </c>
      <c r="J350" s="27">
        <v>3000</v>
      </c>
      <c r="K350" s="28">
        <v>15.3</v>
      </c>
      <c r="L350" s="29"/>
      <c r="M350" s="29">
        <f>L350*K350</f>
        <v>0</v>
      </c>
      <c r="N350" s="30">
        <v>4607116261439</v>
      </c>
    </row>
    <row r="351" spans="1:14" ht="34.5" customHeight="1" outlineLevel="3">
      <c r="A351" s="32">
        <v>13720</v>
      </c>
      <c r="B351" s="23" t="str">
        <f>HYPERLINK("http://sedek.ru/upload/iblock/807/tomat_sakharnaya_sliva_krasnaya.jpg","фото")</f>
        <v>фото</v>
      </c>
      <c r="C351" s="24"/>
      <c r="D351" s="24"/>
      <c r="E351" s="25"/>
      <c r="F351" s="25" t="s">
        <v>428</v>
      </c>
      <c r="G351" s="31">
        <v>0.2</v>
      </c>
      <c r="H351" s="25" t="s">
        <v>70</v>
      </c>
      <c r="I351" s="25" t="s">
        <v>71</v>
      </c>
      <c r="J351" s="27">
        <v>3000</v>
      </c>
      <c r="K351" s="28">
        <v>15.3</v>
      </c>
      <c r="L351" s="29"/>
      <c r="M351" s="29">
        <f>L351*K351</f>
        <v>0</v>
      </c>
      <c r="N351" s="30">
        <v>4607116261446</v>
      </c>
    </row>
    <row r="352" spans="1:14" ht="34.5" customHeight="1" outlineLevel="3">
      <c r="A352" s="32">
        <v>15105</v>
      </c>
      <c r="B352" s="23" t="str">
        <f>HYPERLINK("http://sedek.ru/upload/iblock/66d/tomat_sakharnaya_sliva_malinovaya.jpg","фото")</f>
        <v>фото</v>
      </c>
      <c r="C352" s="24"/>
      <c r="D352" s="24"/>
      <c r="E352" s="25"/>
      <c r="F352" s="25" t="s">
        <v>429</v>
      </c>
      <c r="G352" s="31">
        <v>0.2</v>
      </c>
      <c r="H352" s="25" t="s">
        <v>70</v>
      </c>
      <c r="I352" s="25" t="s">
        <v>71</v>
      </c>
      <c r="J352" s="27">
        <v>3000</v>
      </c>
      <c r="K352" s="28">
        <v>15.3</v>
      </c>
      <c r="L352" s="29"/>
      <c r="M352" s="29">
        <f>L352*K352</f>
        <v>0</v>
      </c>
      <c r="N352" s="30">
        <v>4607116261453</v>
      </c>
    </row>
    <row r="353" spans="1:14" ht="34.5" customHeight="1" outlineLevel="3">
      <c r="A353" s="22" t="s">
        <v>430</v>
      </c>
      <c r="B353" s="23" t="str">
        <f>HYPERLINK("http://sedek.ru/upload/iblock/7b1/tomat_sakharnyy_bizon.jpg","фото")</f>
        <v>фото</v>
      </c>
      <c r="C353" s="24"/>
      <c r="D353" s="24"/>
      <c r="E353" s="25"/>
      <c r="F353" s="25" t="s">
        <v>431</v>
      </c>
      <c r="G353" s="31">
        <v>0.1</v>
      </c>
      <c r="H353" s="25" t="s">
        <v>70</v>
      </c>
      <c r="I353" s="25" t="s">
        <v>71</v>
      </c>
      <c r="J353" s="27">
        <v>4000</v>
      </c>
      <c r="K353" s="28">
        <v>16.2</v>
      </c>
      <c r="L353" s="29"/>
      <c r="M353" s="29">
        <f>L353*K353</f>
        <v>0</v>
      </c>
      <c r="N353" s="30">
        <v>4690368026529</v>
      </c>
    </row>
    <row r="354" spans="1:14" ht="34.5" customHeight="1" outlineLevel="3">
      <c r="A354" s="32">
        <v>13947</v>
      </c>
      <c r="B354" s="23" t="str">
        <f>HYPERLINK("http://sedek.ru/upload/iblock/257/tomat_svit_cherri_f1.jpg","фото")</f>
        <v>фото</v>
      </c>
      <c r="C354" s="24"/>
      <c r="D354" s="24" t="s">
        <v>95</v>
      </c>
      <c r="E354" s="25"/>
      <c r="F354" s="25" t="s">
        <v>432</v>
      </c>
      <c r="G354" s="33">
        <v>0.05</v>
      </c>
      <c r="H354" s="25" t="s">
        <v>70</v>
      </c>
      <c r="I354" s="25" t="s">
        <v>71</v>
      </c>
      <c r="J354" s="27">
        <v>5000</v>
      </c>
      <c r="K354" s="28">
        <v>23.7</v>
      </c>
      <c r="L354" s="29"/>
      <c r="M354" s="29">
        <f>L354*K354</f>
        <v>0</v>
      </c>
      <c r="N354" s="30">
        <v>4607116261460</v>
      </c>
    </row>
    <row r="355" spans="1:14" ht="34.5" customHeight="1" outlineLevel="3">
      <c r="A355" s="32">
        <v>15607</v>
      </c>
      <c r="B355" s="23" t="str">
        <f>HYPERLINK("http://sedek.ru/upload/iblock/056/tomat_severyanin.JPG","фото")</f>
        <v>фото</v>
      </c>
      <c r="C355" s="24"/>
      <c r="D355" s="24"/>
      <c r="E355" s="25" t="s">
        <v>300</v>
      </c>
      <c r="F355" s="25" t="s">
        <v>433</v>
      </c>
      <c r="G355" s="31">
        <v>0.1</v>
      </c>
      <c r="H355" s="25" t="s">
        <v>70</v>
      </c>
      <c r="I355" s="25" t="s">
        <v>71</v>
      </c>
      <c r="J355" s="27">
        <v>4000</v>
      </c>
      <c r="K355" s="28">
        <v>16.1</v>
      </c>
      <c r="L355" s="29"/>
      <c r="M355" s="29">
        <f>L355*K355</f>
        <v>0</v>
      </c>
      <c r="N355" s="30">
        <v>4690368007580</v>
      </c>
    </row>
    <row r="356" spans="1:14" ht="34.5" customHeight="1" outlineLevel="3">
      <c r="A356" s="32">
        <v>14166</v>
      </c>
      <c r="B356" s="23" t="str">
        <f>HYPERLINK("http://sedek.ru/upload/iblock/bb5/tomat_sem_sorok_f1.jpg","фото")</f>
        <v>фото</v>
      </c>
      <c r="C356" s="24"/>
      <c r="D356" s="24"/>
      <c r="E356" s="25"/>
      <c r="F356" s="25" t="s">
        <v>434</v>
      </c>
      <c r="G356" s="33">
        <v>0.05</v>
      </c>
      <c r="H356" s="25" t="s">
        <v>70</v>
      </c>
      <c r="I356" s="25" t="s">
        <v>71</v>
      </c>
      <c r="J356" s="27">
        <v>5000</v>
      </c>
      <c r="K356" s="28">
        <v>27.8</v>
      </c>
      <c r="L356" s="29"/>
      <c r="M356" s="29">
        <f>L356*K356</f>
        <v>0</v>
      </c>
      <c r="N356" s="30">
        <v>4690368015240</v>
      </c>
    </row>
    <row r="357" spans="1:14" ht="23.25" customHeight="1" outlineLevel="3">
      <c r="A357" s="32">
        <v>14419</v>
      </c>
      <c r="B357" s="23" t="str">
        <f>HYPERLINK("http://sedek.ru/upload/iblock/aa9/tomat_sergey_f1.jpg","фото")</f>
        <v>фото</v>
      </c>
      <c r="C357" s="24"/>
      <c r="D357" s="24"/>
      <c r="E357" s="25"/>
      <c r="F357" s="25" t="s">
        <v>435</v>
      </c>
      <c r="G357" s="33">
        <v>0.05</v>
      </c>
      <c r="H357" s="25" t="s">
        <v>70</v>
      </c>
      <c r="I357" s="25" t="s">
        <v>71</v>
      </c>
      <c r="J357" s="27">
        <v>5000</v>
      </c>
      <c r="K357" s="28">
        <v>24.3</v>
      </c>
      <c r="L357" s="29"/>
      <c r="M357" s="29">
        <f>L357*K357</f>
        <v>0</v>
      </c>
      <c r="N357" s="30">
        <v>4690368014663</v>
      </c>
    </row>
    <row r="358" spans="1:14" ht="23.25" customHeight="1" outlineLevel="3">
      <c r="A358" s="32">
        <v>14145</v>
      </c>
      <c r="B358" s="23" t="str">
        <f>HYPERLINK("http://sedek.ru/upload/iblock/ce4/tomat_serdtsevidnyy_konservnyy.jpg","фото")</f>
        <v>фото</v>
      </c>
      <c r="C358" s="24"/>
      <c r="D358" s="24"/>
      <c r="E358" s="25"/>
      <c r="F358" s="25" t="s">
        <v>436</v>
      </c>
      <c r="G358" s="31">
        <v>0.1</v>
      </c>
      <c r="H358" s="25" t="s">
        <v>70</v>
      </c>
      <c r="I358" s="25" t="s">
        <v>71</v>
      </c>
      <c r="J358" s="27">
        <v>4000</v>
      </c>
      <c r="K358" s="28">
        <v>15.5</v>
      </c>
      <c r="L358" s="29"/>
      <c r="M358" s="29">
        <f>L358*K358</f>
        <v>0</v>
      </c>
      <c r="N358" s="30">
        <v>4607116267554</v>
      </c>
    </row>
    <row r="359" spans="1:14" ht="34.5" customHeight="1" outlineLevel="3">
      <c r="A359" s="32">
        <v>15435</v>
      </c>
      <c r="B359" s="23" t="str">
        <f>HYPERLINK("http://sedek.ru/upload/iblock/02d/tomat_sestra_f1.jpg","фото")</f>
        <v>фото</v>
      </c>
      <c r="C359" s="24"/>
      <c r="D359" s="24"/>
      <c r="E359" s="25"/>
      <c r="F359" s="25" t="s">
        <v>437</v>
      </c>
      <c r="G359" s="33">
        <v>0.05</v>
      </c>
      <c r="H359" s="25" t="s">
        <v>70</v>
      </c>
      <c r="I359" s="25" t="s">
        <v>71</v>
      </c>
      <c r="J359" s="27">
        <v>5000</v>
      </c>
      <c r="K359" s="28">
        <v>27.8</v>
      </c>
      <c r="L359" s="29"/>
      <c r="M359" s="29">
        <f>L359*K359</f>
        <v>0</v>
      </c>
      <c r="N359" s="30">
        <v>4607015185591</v>
      </c>
    </row>
    <row r="360" spans="1:14" ht="23.25" customHeight="1" outlineLevel="3">
      <c r="A360" s="32">
        <v>13833</v>
      </c>
      <c r="B360" s="23" t="str">
        <f>HYPERLINK("http://sedek.ru/upload/iblock/420/tomat_skorospelka.jpg","фото")</f>
        <v>фото</v>
      </c>
      <c r="C360" s="24"/>
      <c r="D360" s="24"/>
      <c r="E360" s="25" t="s">
        <v>300</v>
      </c>
      <c r="F360" s="25" t="s">
        <v>438</v>
      </c>
      <c r="G360" s="31">
        <v>0.2</v>
      </c>
      <c r="H360" s="25" t="s">
        <v>70</v>
      </c>
      <c r="I360" s="25" t="s">
        <v>71</v>
      </c>
      <c r="J360" s="27">
        <v>3000</v>
      </c>
      <c r="K360" s="28">
        <v>15.3</v>
      </c>
      <c r="L360" s="29"/>
      <c r="M360" s="29">
        <f>L360*K360</f>
        <v>0</v>
      </c>
      <c r="N360" s="30">
        <v>4607116261507</v>
      </c>
    </row>
    <row r="361" spans="1:14" ht="34.5" customHeight="1" outlineLevel="3">
      <c r="A361" s="32">
        <v>16538</v>
      </c>
      <c r="B361" s="23" t="str">
        <f>HYPERLINK("http://sedek.ru/upload/iblock/815/tomat_skorospelyy_amurskiy.jpg","фото")</f>
        <v>фото</v>
      </c>
      <c r="C361" s="24"/>
      <c r="D361" s="24"/>
      <c r="E361" s="25" t="s">
        <v>300</v>
      </c>
      <c r="F361" s="25" t="s">
        <v>439</v>
      </c>
      <c r="G361" s="31">
        <v>0.1</v>
      </c>
      <c r="H361" s="25" t="s">
        <v>70</v>
      </c>
      <c r="I361" s="25" t="s">
        <v>71</v>
      </c>
      <c r="J361" s="27">
        <v>4000</v>
      </c>
      <c r="K361" s="28">
        <v>15.3</v>
      </c>
      <c r="L361" s="29"/>
      <c r="M361" s="29">
        <f>L361*K361</f>
        <v>0</v>
      </c>
      <c r="N361" s="30">
        <v>4607149405053</v>
      </c>
    </row>
    <row r="362" spans="1:14" ht="34.5" customHeight="1" outlineLevel="3">
      <c r="A362" s="32">
        <v>15793</v>
      </c>
      <c r="B362" s="23" t="str">
        <f>HYPERLINK("http://sedek.ru/upload/iblock/6bf/tomat_sladkoezhka.jpg","фото")</f>
        <v>фото</v>
      </c>
      <c r="C362" s="24"/>
      <c r="D362" s="24" t="s">
        <v>95</v>
      </c>
      <c r="E362" s="25"/>
      <c r="F362" s="25" t="s">
        <v>440</v>
      </c>
      <c r="G362" s="31">
        <v>0.2</v>
      </c>
      <c r="H362" s="25" t="s">
        <v>70</v>
      </c>
      <c r="I362" s="25" t="s">
        <v>71</v>
      </c>
      <c r="J362" s="27">
        <v>3000</v>
      </c>
      <c r="K362" s="28">
        <v>15.3</v>
      </c>
      <c r="L362" s="29"/>
      <c r="M362" s="29">
        <f>L362*K362</f>
        <v>0</v>
      </c>
      <c r="N362" s="30">
        <v>4607116261521</v>
      </c>
    </row>
    <row r="363" spans="1:14" ht="34.5" customHeight="1" outlineLevel="3">
      <c r="A363" s="32">
        <v>14887</v>
      </c>
      <c r="B363" s="23" t="str">
        <f>HYPERLINK("http://sedek.ru/upload/iblock/df2/tomat_sosulka_rozovaya.jpg","фото")</f>
        <v>фото</v>
      </c>
      <c r="C363" s="24"/>
      <c r="D363" s="24"/>
      <c r="E363" s="25"/>
      <c r="F363" s="25" t="s">
        <v>441</v>
      </c>
      <c r="G363" s="31">
        <v>0.1</v>
      </c>
      <c r="H363" s="25" t="s">
        <v>70</v>
      </c>
      <c r="I363" s="25" t="s">
        <v>71</v>
      </c>
      <c r="J363" s="27">
        <v>4000</v>
      </c>
      <c r="K363" s="28">
        <v>16.1</v>
      </c>
      <c r="L363" s="29"/>
      <c r="M363" s="29">
        <f>L363*K363</f>
        <v>0</v>
      </c>
      <c r="N363" s="30">
        <v>4607116261552</v>
      </c>
    </row>
    <row r="364" spans="1:14" ht="23.25" customHeight="1" outlineLevel="3">
      <c r="A364" s="32">
        <v>15685</v>
      </c>
      <c r="B364" s="23" t="str">
        <f>HYPERLINK("http://sedek.ru/upload/iblock/ea7/tomat_sofya_f1.jpg","фото")</f>
        <v>фото</v>
      </c>
      <c r="C364" s="24"/>
      <c r="D364" s="24"/>
      <c r="E364" s="25"/>
      <c r="F364" s="25" t="s">
        <v>442</v>
      </c>
      <c r="G364" s="33">
        <v>0.05</v>
      </c>
      <c r="H364" s="25" t="s">
        <v>70</v>
      </c>
      <c r="I364" s="25" t="s">
        <v>71</v>
      </c>
      <c r="J364" s="27">
        <v>5000</v>
      </c>
      <c r="K364" s="28">
        <v>16.1</v>
      </c>
      <c r="L364" s="29"/>
      <c r="M364" s="29">
        <f>L364*K364</f>
        <v>0</v>
      </c>
      <c r="N364" s="30">
        <v>4607116261569</v>
      </c>
    </row>
    <row r="365" spans="1:14" ht="34.5" customHeight="1" outlineLevel="3">
      <c r="A365" s="22" t="s">
        <v>443</v>
      </c>
      <c r="B365" s="23" t="str">
        <f>HYPERLINK("http://www.sedek.ru/upload/iblock/188/tomat_sprut_slivka_oranzhevaya_f1.jpg","фото")</f>
        <v>фото</v>
      </c>
      <c r="C365" s="24"/>
      <c r="D365" s="24" t="s">
        <v>95</v>
      </c>
      <c r="E365" s="25" t="s">
        <v>444</v>
      </c>
      <c r="F365" s="25" t="s">
        <v>445</v>
      </c>
      <c r="G365" s="33">
        <v>0.03</v>
      </c>
      <c r="H365" s="25" t="s">
        <v>70</v>
      </c>
      <c r="I365" s="25" t="s">
        <v>71</v>
      </c>
      <c r="J365" s="27">
        <v>5000</v>
      </c>
      <c r="K365" s="28">
        <v>49.8</v>
      </c>
      <c r="L365" s="29"/>
      <c r="M365" s="29">
        <f>L365*K365</f>
        <v>0</v>
      </c>
      <c r="N365" s="30">
        <v>4690368030977</v>
      </c>
    </row>
    <row r="366" spans="1:14" ht="34.5" customHeight="1" outlineLevel="3">
      <c r="A366" s="32">
        <v>13821</v>
      </c>
      <c r="B366" s="23" t="str">
        <f>HYPERLINK("http://sedek.ru/upload/iblock/f15/tomat_subarktik.JPG","фото")</f>
        <v>фото</v>
      </c>
      <c r="C366" s="24"/>
      <c r="D366" s="24"/>
      <c r="E366" s="25" t="s">
        <v>300</v>
      </c>
      <c r="F366" s="25" t="s">
        <v>446</v>
      </c>
      <c r="G366" s="31">
        <v>0.2</v>
      </c>
      <c r="H366" s="25" t="s">
        <v>70</v>
      </c>
      <c r="I366" s="25" t="s">
        <v>71</v>
      </c>
      <c r="J366" s="27">
        <v>3000</v>
      </c>
      <c r="K366" s="28">
        <v>15.2</v>
      </c>
      <c r="L366" s="29"/>
      <c r="M366" s="29">
        <f>L366*K366</f>
        <v>0</v>
      </c>
      <c r="N366" s="30">
        <v>4607116261606</v>
      </c>
    </row>
    <row r="367" spans="1:14" ht="23.25" customHeight="1" outlineLevel="3">
      <c r="A367" s="32">
        <v>15578</v>
      </c>
      <c r="B367" s="23" t="str">
        <f>HYPERLINK("http://sedek.ru/upload/iblock/8c9/tomat_schaste_f1.jpg","фото")</f>
        <v>фото</v>
      </c>
      <c r="C367" s="24"/>
      <c r="D367" s="24"/>
      <c r="E367" s="25"/>
      <c r="F367" s="25" t="s">
        <v>447</v>
      </c>
      <c r="G367" s="33">
        <v>0.05</v>
      </c>
      <c r="H367" s="25" t="s">
        <v>70</v>
      </c>
      <c r="I367" s="25" t="s">
        <v>71</v>
      </c>
      <c r="J367" s="27">
        <v>5000</v>
      </c>
      <c r="K367" s="28">
        <v>38.5</v>
      </c>
      <c r="L367" s="29"/>
      <c r="M367" s="29">
        <f>L367*K367</f>
        <v>0</v>
      </c>
      <c r="N367" s="30">
        <v>4690368007658</v>
      </c>
    </row>
    <row r="368" spans="1:14" ht="23.25" customHeight="1" outlineLevel="3">
      <c r="A368" s="32">
        <v>14002</v>
      </c>
      <c r="B368" s="23" t="str">
        <f>HYPERLINK("http://www.sedek.ru/upload/iblock/10f/tomat_talalikhin_186.jpg","фото")</f>
        <v>фото</v>
      </c>
      <c r="C368" s="24"/>
      <c r="D368" s="24"/>
      <c r="E368" s="25"/>
      <c r="F368" s="25" t="s">
        <v>448</v>
      </c>
      <c r="G368" s="31">
        <v>0.2</v>
      </c>
      <c r="H368" s="25" t="s">
        <v>70</v>
      </c>
      <c r="I368" s="25" t="s">
        <v>71</v>
      </c>
      <c r="J368" s="27">
        <v>3000</v>
      </c>
      <c r="K368" s="28">
        <v>15.2</v>
      </c>
      <c r="L368" s="29"/>
      <c r="M368" s="29">
        <f>L368*K368</f>
        <v>0</v>
      </c>
      <c r="N368" s="30">
        <v>4607116261668</v>
      </c>
    </row>
    <row r="369" spans="1:14" ht="23.25" customHeight="1" outlineLevel="3">
      <c r="A369" s="32">
        <v>15786</v>
      </c>
      <c r="B369" s="23" t="str">
        <f>HYPERLINK("http://www.sedek.ru/upload/iblock/9c8/tomat_tatyana.jpg","фото")</f>
        <v>фото</v>
      </c>
      <c r="C369" s="24"/>
      <c r="D369" s="24"/>
      <c r="E369" s="25"/>
      <c r="F369" s="25" t="s">
        <v>449</v>
      </c>
      <c r="G369" s="31">
        <v>0.1</v>
      </c>
      <c r="H369" s="25" t="s">
        <v>70</v>
      </c>
      <c r="I369" s="25" t="s">
        <v>71</v>
      </c>
      <c r="J369" s="27">
        <v>4000</v>
      </c>
      <c r="K369" s="28">
        <v>17.8</v>
      </c>
      <c r="L369" s="29"/>
      <c r="M369" s="29">
        <f>L369*K369</f>
        <v>0</v>
      </c>
      <c r="N369" s="30">
        <v>4607116261675</v>
      </c>
    </row>
    <row r="370" spans="1:14" ht="23.25" customHeight="1" outlineLevel="3">
      <c r="A370" s="22" t="s">
        <v>450</v>
      </c>
      <c r="B370" s="23" t="str">
        <f>HYPERLINK("http://sedek.ru/upload/iblock/d3b/tomat_tolstyy_sosed_f1.jpg","фото")</f>
        <v>фото</v>
      </c>
      <c r="C370" s="24"/>
      <c r="D370" s="24" t="s">
        <v>95</v>
      </c>
      <c r="E370" s="25"/>
      <c r="F370" s="25" t="s">
        <v>451</v>
      </c>
      <c r="G370" s="33">
        <v>0.03</v>
      </c>
      <c r="H370" s="25" t="s">
        <v>70</v>
      </c>
      <c r="I370" s="25" t="s">
        <v>71</v>
      </c>
      <c r="J370" s="27">
        <v>5000</v>
      </c>
      <c r="K370" s="28">
        <v>38.7</v>
      </c>
      <c r="L370" s="29"/>
      <c r="M370" s="29">
        <f>L370*K370</f>
        <v>0</v>
      </c>
      <c r="N370" s="30">
        <v>4690368007641</v>
      </c>
    </row>
    <row r="371" spans="1:14" ht="23.25" customHeight="1" outlineLevel="3">
      <c r="A371" s="32">
        <v>13699</v>
      </c>
      <c r="B371" s="23" t="str">
        <f>HYPERLINK("http://www.sedek.ru/upload/iblock/135/tomat_tolstyak_f1.jpg","Фото")</f>
        <v>Фото</v>
      </c>
      <c r="C371" s="24"/>
      <c r="D371" s="24"/>
      <c r="E371" s="25"/>
      <c r="F371" s="25" t="s">
        <v>452</v>
      </c>
      <c r="G371" s="31">
        <v>0.1</v>
      </c>
      <c r="H371" s="25" t="s">
        <v>70</v>
      </c>
      <c r="I371" s="25" t="s">
        <v>71</v>
      </c>
      <c r="J371" s="27">
        <v>4000</v>
      </c>
      <c r="K371" s="28">
        <v>16.1</v>
      </c>
      <c r="L371" s="29"/>
      <c r="M371" s="29">
        <f>L371*K371</f>
        <v>0</v>
      </c>
      <c r="N371" s="30">
        <v>4690368022354</v>
      </c>
    </row>
    <row r="372" spans="1:14" ht="45.75" customHeight="1" outlineLevel="3">
      <c r="A372" s="22" t="s">
        <v>453</v>
      </c>
      <c r="B372" s="23" t="str">
        <f>HYPERLINK("http://www.sedek.ru/upload/iblock/b73/tomat_tryufel_krasnyy.jpg","Фото")</f>
        <v>Фото</v>
      </c>
      <c r="C372" s="24"/>
      <c r="D372" s="24"/>
      <c r="E372" s="25"/>
      <c r="F372" s="25" t="s">
        <v>454</v>
      </c>
      <c r="G372" s="31">
        <v>0.1</v>
      </c>
      <c r="H372" s="25" t="s">
        <v>70</v>
      </c>
      <c r="I372" s="25" t="s">
        <v>71</v>
      </c>
      <c r="J372" s="27">
        <v>3000</v>
      </c>
      <c r="K372" s="28">
        <v>20.9</v>
      </c>
      <c r="L372" s="29"/>
      <c r="M372" s="29">
        <f>L372*K372</f>
        <v>0</v>
      </c>
      <c r="N372" s="30">
        <v>4690368037228</v>
      </c>
    </row>
    <row r="373" spans="1:14" ht="34.5" customHeight="1" outlineLevel="3">
      <c r="A373" s="32">
        <v>14900</v>
      </c>
      <c r="B373" s="23" t="str">
        <f>HYPERLINK("http://sedek.ru/upload/iblock/a25/tomat_ustinya_f1.jpg","фото")</f>
        <v>фото</v>
      </c>
      <c r="C373" s="24"/>
      <c r="D373" s="24"/>
      <c r="E373" s="25"/>
      <c r="F373" s="25" t="s">
        <v>455</v>
      </c>
      <c r="G373" s="31">
        <v>0.1</v>
      </c>
      <c r="H373" s="25" t="s">
        <v>70</v>
      </c>
      <c r="I373" s="25" t="s">
        <v>71</v>
      </c>
      <c r="J373" s="27">
        <v>4000</v>
      </c>
      <c r="K373" s="28">
        <v>20.9</v>
      </c>
      <c r="L373" s="29"/>
      <c r="M373" s="29">
        <f>L373*K373</f>
        <v>0</v>
      </c>
      <c r="N373" s="30">
        <v>4607015185638</v>
      </c>
    </row>
    <row r="374" spans="1:14" ht="34.5" customHeight="1" outlineLevel="3">
      <c r="A374" s="32">
        <v>14360</v>
      </c>
      <c r="B374" s="23" t="str">
        <f>HYPERLINK("http://www.sedek.ru/upload/iblock/f85/tomat_favorit_sedek.jpg","фото")</f>
        <v>фото</v>
      </c>
      <c r="C374" s="24"/>
      <c r="D374" s="24"/>
      <c r="E374" s="25"/>
      <c r="F374" s="25" t="s">
        <v>456</v>
      </c>
      <c r="G374" s="31">
        <v>0.2</v>
      </c>
      <c r="H374" s="25" t="s">
        <v>70</v>
      </c>
      <c r="I374" s="25" t="s">
        <v>71</v>
      </c>
      <c r="J374" s="27">
        <v>3000</v>
      </c>
      <c r="K374" s="28">
        <v>15.3</v>
      </c>
      <c r="L374" s="29"/>
      <c r="M374" s="29">
        <f>L374*K374</f>
        <v>0</v>
      </c>
      <c r="N374" s="30">
        <v>4607116261736</v>
      </c>
    </row>
    <row r="375" spans="1:14" ht="23.25" customHeight="1" outlineLevel="3">
      <c r="A375" s="22" t="s">
        <v>457</v>
      </c>
      <c r="B375" s="23" t="str">
        <f>HYPERLINK("http://www.sedek.ru/upload/iblock/ae4/tomat_tsaryek_f1.jpg","фото")</f>
        <v>фото</v>
      </c>
      <c r="C375" s="24"/>
      <c r="D375" s="24"/>
      <c r="E375" s="25"/>
      <c r="F375" s="25" t="s">
        <v>458</v>
      </c>
      <c r="G375" s="33">
        <v>0.05</v>
      </c>
      <c r="H375" s="25" t="s">
        <v>70</v>
      </c>
      <c r="I375" s="25" t="s">
        <v>71</v>
      </c>
      <c r="J375" s="27">
        <v>5000</v>
      </c>
      <c r="K375" s="28">
        <v>23.4</v>
      </c>
      <c r="L375" s="29"/>
      <c r="M375" s="29">
        <f>L375*K375</f>
        <v>0</v>
      </c>
      <c r="N375" s="30">
        <v>4690368031387</v>
      </c>
    </row>
    <row r="376" spans="1:14" ht="23.25" customHeight="1" outlineLevel="3">
      <c r="A376" s="22" t="s">
        <v>459</v>
      </c>
      <c r="B376" s="23" t="str">
        <f>HYPERLINK("http://www.sedek.ru/upload/iblock/d4d/tomat_tsaritsa_f1.jpg","фото")</f>
        <v>фото</v>
      </c>
      <c r="C376" s="24"/>
      <c r="D376" s="24"/>
      <c r="E376" s="25"/>
      <c r="F376" s="25" t="s">
        <v>460</v>
      </c>
      <c r="G376" s="33">
        <v>0.05</v>
      </c>
      <c r="H376" s="25" t="s">
        <v>70</v>
      </c>
      <c r="I376" s="25" t="s">
        <v>71</v>
      </c>
      <c r="J376" s="27">
        <v>5000</v>
      </c>
      <c r="K376" s="28">
        <v>31.4</v>
      </c>
      <c r="L376" s="29"/>
      <c r="M376" s="29">
        <f>L376*K376</f>
        <v>0</v>
      </c>
      <c r="N376" s="30">
        <v>4690368031462</v>
      </c>
    </row>
    <row r="377" spans="1:14" ht="23.25" customHeight="1" outlineLevel="3">
      <c r="A377" s="22" t="s">
        <v>461</v>
      </c>
      <c r="B377" s="23" t="str">
        <f>HYPERLINK("http://www.sedek.ru/upload/iblock/a89/tomat_tsar_david.jpg","фото")</f>
        <v>фото</v>
      </c>
      <c r="C377" s="24"/>
      <c r="D377" s="24"/>
      <c r="E377" s="25"/>
      <c r="F377" s="25" t="s">
        <v>462</v>
      </c>
      <c r="G377" s="31">
        <v>0.1</v>
      </c>
      <c r="H377" s="25" t="s">
        <v>70</v>
      </c>
      <c r="I377" s="25" t="s">
        <v>71</v>
      </c>
      <c r="J377" s="27">
        <v>4000</v>
      </c>
      <c r="K377" s="28">
        <v>16.1</v>
      </c>
      <c r="L377" s="29"/>
      <c r="M377" s="29">
        <f>L377*K377</f>
        <v>0</v>
      </c>
      <c r="N377" s="30">
        <v>4690368026253</v>
      </c>
    </row>
    <row r="378" spans="1:14" ht="34.5" customHeight="1" outlineLevel="3">
      <c r="A378" s="32">
        <v>15425</v>
      </c>
      <c r="B378" s="23" t="str">
        <f>HYPERLINK("http://sedek.ru/upload/iblock/f85/tomat_tsar_poley.jpg","фото")</f>
        <v>фото</v>
      </c>
      <c r="C378" s="24"/>
      <c r="D378" s="24"/>
      <c r="E378" s="25"/>
      <c r="F378" s="25" t="s">
        <v>463</v>
      </c>
      <c r="G378" s="31">
        <v>0.1</v>
      </c>
      <c r="H378" s="25" t="s">
        <v>70</v>
      </c>
      <c r="I378" s="25" t="s">
        <v>71</v>
      </c>
      <c r="J378" s="27">
        <v>4000</v>
      </c>
      <c r="K378" s="28">
        <v>16.1</v>
      </c>
      <c r="L378" s="29"/>
      <c r="M378" s="29">
        <f>L378*K378</f>
        <v>0</v>
      </c>
      <c r="N378" s="30">
        <v>4607149405060</v>
      </c>
    </row>
    <row r="379" spans="1:14" ht="34.5" customHeight="1" outlineLevel="3">
      <c r="A379" s="22" t="s">
        <v>464</v>
      </c>
      <c r="B379" s="23" t="str">
        <f>HYPERLINK("http://www.sedek.ru/upload/iblock/2e1/tomat_cherri_so_slivkami_f1.jpg","фото")</f>
        <v>фото</v>
      </c>
      <c r="C379" s="24"/>
      <c r="D379" s="24" t="s">
        <v>95</v>
      </c>
      <c r="E379" s="25"/>
      <c r="F379" s="25" t="s">
        <v>465</v>
      </c>
      <c r="G379" s="33">
        <v>0.05</v>
      </c>
      <c r="H379" s="25" t="s">
        <v>70</v>
      </c>
      <c r="I379" s="25" t="s">
        <v>71</v>
      </c>
      <c r="J379" s="27">
        <v>5000</v>
      </c>
      <c r="K379" s="28">
        <v>23.2</v>
      </c>
      <c r="L379" s="29"/>
      <c r="M379" s="29">
        <f>L379*K379</f>
        <v>0</v>
      </c>
      <c r="N379" s="30">
        <v>4690368026413</v>
      </c>
    </row>
    <row r="380" spans="1:14" ht="34.5" customHeight="1" outlineLevel="3">
      <c r="A380" s="32">
        <v>13623</v>
      </c>
      <c r="B380" s="23" t="str">
        <f>HYPERLINK("http://sedek.ru/upload/iblock/67a/tomat_chudo_posola.jpg","фото")</f>
        <v>фото</v>
      </c>
      <c r="C380" s="24"/>
      <c r="D380" s="24"/>
      <c r="E380" s="25"/>
      <c r="F380" s="25" t="s">
        <v>466</v>
      </c>
      <c r="G380" s="31">
        <v>0.2</v>
      </c>
      <c r="H380" s="25" t="s">
        <v>70</v>
      </c>
      <c r="I380" s="25" t="s">
        <v>71</v>
      </c>
      <c r="J380" s="27">
        <v>3000</v>
      </c>
      <c r="K380" s="28">
        <v>15.3</v>
      </c>
      <c r="L380" s="29"/>
      <c r="M380" s="29">
        <f>L380*K380</f>
        <v>0</v>
      </c>
      <c r="N380" s="30">
        <v>4690368006026</v>
      </c>
    </row>
    <row r="381" spans="1:14" ht="23.25" customHeight="1" outlineLevel="3">
      <c r="A381" s="22" t="s">
        <v>467</v>
      </c>
      <c r="B381" s="23" t="str">
        <f>HYPERLINK("http://sedek.ru/upload/iblock/3a9/tomat_shans_f1.jpg","фото")</f>
        <v>фото</v>
      </c>
      <c r="C381" s="24"/>
      <c r="D381" s="24" t="s">
        <v>95</v>
      </c>
      <c r="E381" s="25"/>
      <c r="F381" s="25" t="s">
        <v>468</v>
      </c>
      <c r="G381" s="33">
        <v>0.05</v>
      </c>
      <c r="H381" s="25" t="s">
        <v>70</v>
      </c>
      <c r="I381" s="25" t="s">
        <v>71</v>
      </c>
      <c r="J381" s="27">
        <v>5000</v>
      </c>
      <c r="K381" s="28">
        <v>17.8</v>
      </c>
      <c r="L381" s="29"/>
      <c r="M381" s="29">
        <f>L381*K381</f>
        <v>0</v>
      </c>
      <c r="N381" s="30">
        <v>4607116261880</v>
      </c>
    </row>
    <row r="382" spans="1:14" ht="12" customHeight="1" outlineLevel="2">
      <c r="A382" s="19"/>
      <c r="B382" s="20"/>
      <c r="C382" s="20"/>
      <c r="D382" s="20"/>
      <c r="E382" s="20"/>
      <c r="F382" s="20" t="s">
        <v>469</v>
      </c>
      <c r="G382" s="20"/>
      <c r="H382" s="20"/>
      <c r="I382" s="20"/>
      <c r="J382" s="20"/>
      <c r="K382" s="20"/>
      <c r="L382" s="20"/>
      <c r="M382" s="20"/>
      <c r="N382" s="21"/>
    </row>
    <row r="383" spans="1:14" ht="34.5" customHeight="1" outlineLevel="3">
      <c r="A383" s="22" t="s">
        <v>470</v>
      </c>
      <c r="B383" s="23" t="str">
        <f>HYPERLINK("http://www.sedek.ru/upload/iblock/d4f/tykva_adazhio.jpg","фото")</f>
        <v>фото</v>
      </c>
      <c r="C383" s="24"/>
      <c r="D383" s="24"/>
      <c r="E383" s="25"/>
      <c r="F383" s="25" t="s">
        <v>471</v>
      </c>
      <c r="G383" s="26">
        <v>1</v>
      </c>
      <c r="H383" s="25" t="s">
        <v>70</v>
      </c>
      <c r="I383" s="25" t="s">
        <v>71</v>
      </c>
      <c r="J383" s="27">
        <v>1500</v>
      </c>
      <c r="K383" s="28">
        <v>29.4</v>
      </c>
      <c r="L383" s="29"/>
      <c r="M383" s="29">
        <f>L383*K383</f>
        <v>0</v>
      </c>
      <c r="N383" s="30">
        <v>4607116262023</v>
      </c>
    </row>
    <row r="384" spans="1:14" ht="34.5" customHeight="1" outlineLevel="3">
      <c r="A384" s="22" t="s">
        <v>472</v>
      </c>
      <c r="B384" s="23" t="str">
        <f>HYPERLINK("http://sedek.ru/upload/iblock/20b/tykva_barynya_f1.jpg","фото")</f>
        <v>фото</v>
      </c>
      <c r="C384" s="24"/>
      <c r="D384" s="24"/>
      <c r="E384" s="25"/>
      <c r="F384" s="25" t="s">
        <v>473</v>
      </c>
      <c r="G384" s="26">
        <v>1</v>
      </c>
      <c r="H384" s="25" t="s">
        <v>70</v>
      </c>
      <c r="I384" s="25" t="s">
        <v>71</v>
      </c>
      <c r="J384" s="27">
        <v>1500</v>
      </c>
      <c r="K384" s="28">
        <v>25.3</v>
      </c>
      <c r="L384" s="29"/>
      <c r="M384" s="29">
        <f>L384*K384</f>
        <v>0</v>
      </c>
      <c r="N384" s="30">
        <v>4690368021821</v>
      </c>
    </row>
    <row r="385" spans="1:14" ht="23.25" customHeight="1" outlineLevel="3">
      <c r="A385" s="32">
        <v>14935</v>
      </c>
      <c r="B385" s="23" t="str">
        <f>HYPERLINK("http://sedek.ru/upload/iblock/b53/tykva_dekorativnaya_bembi.jpg","фото")</f>
        <v>фото</v>
      </c>
      <c r="C385" s="24"/>
      <c r="D385" s="24"/>
      <c r="E385" s="25"/>
      <c r="F385" s="25" t="s">
        <v>474</v>
      </c>
      <c r="G385" s="33">
        <v>0.25</v>
      </c>
      <c r="H385" s="25" t="s">
        <v>70</v>
      </c>
      <c r="I385" s="25" t="s">
        <v>71</v>
      </c>
      <c r="J385" s="27">
        <v>5000</v>
      </c>
      <c r="K385" s="28">
        <v>19.7</v>
      </c>
      <c r="L385" s="29"/>
      <c r="M385" s="29">
        <f>L385*K385</f>
        <v>0</v>
      </c>
      <c r="N385" s="30">
        <v>4690368017848</v>
      </c>
    </row>
    <row r="386" spans="1:14" ht="23.25" customHeight="1" outlineLevel="3">
      <c r="A386" s="32">
        <v>13670</v>
      </c>
      <c r="B386" s="23" t="str">
        <f>HYPERLINK("http://www.sedek.ru/upload/iblock/e7f/tykva_valentina_f1.jpg","фото")</f>
        <v>фото</v>
      </c>
      <c r="C386" s="24"/>
      <c r="D386" s="24"/>
      <c r="E386" s="25"/>
      <c r="F386" s="25" t="s">
        <v>475</v>
      </c>
      <c r="G386" s="26">
        <v>1</v>
      </c>
      <c r="H386" s="25" t="s">
        <v>70</v>
      </c>
      <c r="I386" s="25" t="s">
        <v>71</v>
      </c>
      <c r="J386" s="27">
        <v>1500</v>
      </c>
      <c r="K386" s="28">
        <v>26.7</v>
      </c>
      <c r="L386" s="29"/>
      <c r="M386" s="29">
        <f>L386*K386</f>
        <v>0</v>
      </c>
      <c r="N386" s="30">
        <v>4690368021852</v>
      </c>
    </row>
    <row r="387" spans="1:14" ht="34.5" customHeight="1" outlineLevel="3">
      <c r="A387" s="32">
        <v>13596</v>
      </c>
      <c r="B387" s="23" t="str">
        <f>HYPERLINK("http://sedek.ru/upload/iblock/fea/vitaminna.jpg","фото")</f>
        <v>фото</v>
      </c>
      <c r="C387" s="24"/>
      <c r="D387" s="24"/>
      <c r="E387" s="25"/>
      <c r="F387" s="25" t="s">
        <v>476</v>
      </c>
      <c r="G387" s="26">
        <v>2</v>
      </c>
      <c r="H387" s="25" t="s">
        <v>70</v>
      </c>
      <c r="I387" s="25" t="s">
        <v>71</v>
      </c>
      <c r="J387" s="27">
        <v>1500</v>
      </c>
      <c r="K387" s="28">
        <v>16.1</v>
      </c>
      <c r="L387" s="29"/>
      <c r="M387" s="29">
        <f>L387*K387</f>
        <v>0</v>
      </c>
      <c r="N387" s="30">
        <v>4690368006712</v>
      </c>
    </row>
    <row r="388" spans="1:14" ht="34.5" customHeight="1" outlineLevel="3">
      <c r="A388" s="32">
        <v>16476</v>
      </c>
      <c r="B388" s="23" t="str">
        <f>HYPERLINK("http://www.sedek.ru/upload/iblock/656/tykva_volzhskaya_seraya_92.jpg","фото")</f>
        <v>фото</v>
      </c>
      <c r="C388" s="24"/>
      <c r="D388" s="24"/>
      <c r="E388" s="25"/>
      <c r="F388" s="25" t="s">
        <v>477</v>
      </c>
      <c r="G388" s="26">
        <v>2</v>
      </c>
      <c r="H388" s="25" t="s">
        <v>70</v>
      </c>
      <c r="I388" s="25" t="s">
        <v>71</v>
      </c>
      <c r="J388" s="27">
        <v>1500</v>
      </c>
      <c r="K388" s="28">
        <v>13.9</v>
      </c>
      <c r="L388" s="29"/>
      <c r="M388" s="29">
        <f>L388*K388</f>
        <v>0</v>
      </c>
      <c r="N388" s="30">
        <v>4607149403813</v>
      </c>
    </row>
    <row r="389" spans="1:14" ht="34.5" customHeight="1" outlineLevel="3">
      <c r="A389" s="32">
        <v>14673</v>
      </c>
      <c r="B389" s="23" t="str">
        <f>HYPERLINK("http://www.sedek.ru/upload/iblock/812/tykva_gribovskaya_zimnyaya.jpg","фото")</f>
        <v>фото</v>
      </c>
      <c r="C389" s="24"/>
      <c r="D389" s="24"/>
      <c r="E389" s="25"/>
      <c r="F389" s="25" t="s">
        <v>478</v>
      </c>
      <c r="G389" s="26">
        <v>2</v>
      </c>
      <c r="H389" s="25" t="s">
        <v>70</v>
      </c>
      <c r="I389" s="25" t="s">
        <v>71</v>
      </c>
      <c r="J389" s="27">
        <v>1500</v>
      </c>
      <c r="K389" s="28">
        <v>15.2</v>
      </c>
      <c r="L389" s="29"/>
      <c r="M389" s="29">
        <f>L389*K389</f>
        <v>0</v>
      </c>
      <c r="N389" s="30">
        <v>4690368015325</v>
      </c>
    </row>
    <row r="390" spans="1:14" ht="34.5" customHeight="1" outlineLevel="3">
      <c r="A390" s="32">
        <v>14811</v>
      </c>
      <c r="B390" s="23" t="str">
        <f>HYPERLINK("http://sedek.ru/upload/iblock/6f6/tykva_zhyeltaya_iz_parizha.jpg","фото")</f>
        <v>фото</v>
      </c>
      <c r="C390" s="24"/>
      <c r="D390" s="24"/>
      <c r="E390" s="25"/>
      <c r="F390" s="25" t="s">
        <v>479</v>
      </c>
      <c r="G390" s="26">
        <v>2</v>
      </c>
      <c r="H390" s="25" t="s">
        <v>70</v>
      </c>
      <c r="I390" s="25" t="s">
        <v>71</v>
      </c>
      <c r="J390" s="27">
        <v>1500</v>
      </c>
      <c r="K390" s="28">
        <v>29.4</v>
      </c>
      <c r="L390" s="29"/>
      <c r="M390" s="29">
        <f>L390*K390</f>
        <v>0</v>
      </c>
      <c r="N390" s="30">
        <v>4607116262085</v>
      </c>
    </row>
    <row r="391" spans="1:14" ht="45.75" customHeight="1" outlineLevel="3">
      <c r="A391" s="32">
        <v>17134</v>
      </c>
      <c r="B391" s="23" t="str">
        <f>HYPERLINK("http://sedek.ru/upload/iblock/fd5/tykva_zhongler.jpg","фото")</f>
        <v>фото</v>
      </c>
      <c r="C391" s="24"/>
      <c r="D391" s="24"/>
      <c r="E391" s="25"/>
      <c r="F391" s="25" t="s">
        <v>480</v>
      </c>
      <c r="G391" s="26">
        <v>1</v>
      </c>
      <c r="H391" s="25" t="s">
        <v>70</v>
      </c>
      <c r="I391" s="25" t="s">
        <v>71</v>
      </c>
      <c r="J391" s="27">
        <v>2500</v>
      </c>
      <c r="K391" s="28">
        <v>21.8</v>
      </c>
      <c r="L391" s="29"/>
      <c r="M391" s="29">
        <f>L391*K391</f>
        <v>0</v>
      </c>
      <c r="N391" s="30">
        <v>4690368023115</v>
      </c>
    </row>
    <row r="392" spans="1:14" ht="34.5" customHeight="1" outlineLevel="3">
      <c r="A392" s="32">
        <v>13659</v>
      </c>
      <c r="B392" s="23" t="str">
        <f>HYPERLINK("http://sedek.ru/upload/iblock/3f2/tykva_karotinovaya_f1.jpg","фото")</f>
        <v>фото</v>
      </c>
      <c r="C392" s="24"/>
      <c r="D392" s="24"/>
      <c r="E392" s="25"/>
      <c r="F392" s="25" t="s">
        <v>481</v>
      </c>
      <c r="G392" s="31">
        <v>1.5</v>
      </c>
      <c r="H392" s="25" t="s">
        <v>70</v>
      </c>
      <c r="I392" s="25" t="s">
        <v>71</v>
      </c>
      <c r="J392" s="27">
        <v>1500</v>
      </c>
      <c r="K392" s="28">
        <v>27.8</v>
      </c>
      <c r="L392" s="29"/>
      <c r="M392" s="29">
        <f>L392*K392</f>
        <v>0</v>
      </c>
      <c r="N392" s="30">
        <v>4690368021883</v>
      </c>
    </row>
    <row r="393" spans="1:14" ht="34.5" customHeight="1" outlineLevel="3">
      <c r="A393" s="32">
        <v>13710</v>
      </c>
      <c r="B393" s="23" t="str">
        <f>HYPERLINK("http://www.sedek.ru/upload/iblock/cc3/tykva_konfetka.JPG","фото")</f>
        <v>фото</v>
      </c>
      <c r="C393" s="24"/>
      <c r="D393" s="24"/>
      <c r="E393" s="25"/>
      <c r="F393" s="25" t="s">
        <v>482</v>
      </c>
      <c r="G393" s="26">
        <v>2</v>
      </c>
      <c r="H393" s="25" t="s">
        <v>70</v>
      </c>
      <c r="I393" s="25" t="s">
        <v>71</v>
      </c>
      <c r="J393" s="27">
        <v>1500</v>
      </c>
      <c r="K393" s="28">
        <v>21.8</v>
      </c>
      <c r="L393" s="29"/>
      <c r="M393" s="29">
        <f>L393*K393</f>
        <v>0</v>
      </c>
      <c r="N393" s="30">
        <v>4690368022392</v>
      </c>
    </row>
    <row r="394" spans="1:14" ht="34.5" customHeight="1" outlineLevel="3">
      <c r="A394" s="22" t="s">
        <v>483</v>
      </c>
      <c r="B394" s="23" t="str">
        <f>HYPERLINK("http://sedek.ru/upload/iblock/635/tykva_krasa_ogoroda_f1.JPG","фото")</f>
        <v>фото</v>
      </c>
      <c r="C394" s="24"/>
      <c r="D394" s="24"/>
      <c r="E394" s="25"/>
      <c r="F394" s="25" t="s">
        <v>484</v>
      </c>
      <c r="G394" s="26">
        <v>1</v>
      </c>
      <c r="H394" s="25" t="s">
        <v>70</v>
      </c>
      <c r="I394" s="25" t="s">
        <v>71</v>
      </c>
      <c r="J394" s="27">
        <v>1500</v>
      </c>
      <c r="K394" s="28">
        <v>26.7</v>
      </c>
      <c r="L394" s="29"/>
      <c r="M394" s="29">
        <f>L394*K394</f>
        <v>0</v>
      </c>
      <c r="N394" s="30">
        <v>4690368022385</v>
      </c>
    </row>
    <row r="395" spans="1:14" ht="34.5" customHeight="1" outlineLevel="3">
      <c r="A395" s="22" t="s">
        <v>485</v>
      </c>
      <c r="B395" s="23" t="str">
        <f>HYPERLINK("http://sedek.ru/upload/iblock/067/tykva_krasnaya_vkusnaya.jpg","фото")</f>
        <v>фото</v>
      </c>
      <c r="C395" s="24"/>
      <c r="D395" s="24" t="s">
        <v>95</v>
      </c>
      <c r="E395" s="25"/>
      <c r="F395" s="25" t="s">
        <v>486</v>
      </c>
      <c r="G395" s="26">
        <v>1</v>
      </c>
      <c r="H395" s="25" t="s">
        <v>70</v>
      </c>
      <c r="I395" s="25" t="s">
        <v>71</v>
      </c>
      <c r="J395" s="27">
        <v>1500</v>
      </c>
      <c r="K395" s="28">
        <v>26.7</v>
      </c>
      <c r="L395" s="29"/>
      <c r="M395" s="29">
        <f>L395*K395</f>
        <v>0</v>
      </c>
      <c r="N395" s="30">
        <v>4607149405213</v>
      </c>
    </row>
    <row r="396" spans="1:14" ht="34.5" customHeight="1" outlineLevel="3">
      <c r="A396" s="32">
        <v>15819</v>
      </c>
      <c r="B396" s="23" t="str">
        <f>HYPERLINK("http://sedek.ru/upload/iblock/d26/tykva_krupnoplodnaya_1.JPG","фото")</f>
        <v>фото</v>
      </c>
      <c r="C396" s="24"/>
      <c r="D396" s="24"/>
      <c r="E396" s="25"/>
      <c r="F396" s="25" t="s">
        <v>487</v>
      </c>
      <c r="G396" s="26">
        <v>2</v>
      </c>
      <c r="H396" s="25" t="s">
        <v>70</v>
      </c>
      <c r="I396" s="25" t="s">
        <v>71</v>
      </c>
      <c r="J396" s="27">
        <v>1500</v>
      </c>
      <c r="K396" s="28">
        <v>16.1</v>
      </c>
      <c r="L396" s="29"/>
      <c r="M396" s="29">
        <f>L396*K396</f>
        <v>0</v>
      </c>
      <c r="N396" s="30">
        <v>4690368010009</v>
      </c>
    </row>
    <row r="397" spans="1:14" ht="34.5" customHeight="1" outlineLevel="3">
      <c r="A397" s="32">
        <v>15614</v>
      </c>
      <c r="B397" s="23" t="str">
        <f>HYPERLINK("http://sedek.ru/upload/iblock/84e/tykva_kupchikha.jpg","фото")</f>
        <v>фото</v>
      </c>
      <c r="C397" s="24"/>
      <c r="D397" s="24"/>
      <c r="E397" s="25"/>
      <c r="F397" s="25" t="s">
        <v>488</v>
      </c>
      <c r="G397" s="26">
        <v>2</v>
      </c>
      <c r="H397" s="25" t="s">
        <v>70</v>
      </c>
      <c r="I397" s="25" t="s">
        <v>71</v>
      </c>
      <c r="J397" s="27">
        <v>1500</v>
      </c>
      <c r="K397" s="28">
        <v>21.8</v>
      </c>
      <c r="L397" s="29"/>
      <c r="M397" s="29">
        <f>L397*K397</f>
        <v>0</v>
      </c>
      <c r="N397" s="30">
        <v>4607149405190</v>
      </c>
    </row>
    <row r="398" spans="1:14" ht="34.5" customHeight="1" outlineLevel="3">
      <c r="A398" s="32">
        <v>15563</v>
      </c>
      <c r="B398" s="23" t="str">
        <f>HYPERLINK("http://www.sedek.ru/upload/iblock/b3b/tykva_lechebnaya.jpg","фото")</f>
        <v>фото</v>
      </c>
      <c r="C398" s="24"/>
      <c r="D398" s="24"/>
      <c r="E398" s="25"/>
      <c r="F398" s="25" t="s">
        <v>489</v>
      </c>
      <c r="G398" s="31">
        <v>1.5</v>
      </c>
      <c r="H398" s="25" t="s">
        <v>70</v>
      </c>
      <c r="I398" s="25" t="s">
        <v>71</v>
      </c>
      <c r="J398" s="27">
        <v>1500</v>
      </c>
      <c r="K398" s="28">
        <v>15.2</v>
      </c>
      <c r="L398" s="29"/>
      <c r="M398" s="29">
        <f>L398*K398</f>
        <v>0</v>
      </c>
      <c r="N398" s="30">
        <v>4607149406326</v>
      </c>
    </row>
    <row r="399" spans="1:14" ht="34.5" customHeight="1" outlineLevel="3">
      <c r="A399" s="32">
        <v>14933</v>
      </c>
      <c r="B399" s="23" t="str">
        <f>HYPERLINK("http://sedek.ru/upload/iblock/741/tykva_dekorativnaya_milashka.jpg","фото")</f>
        <v>фото</v>
      </c>
      <c r="C399" s="24"/>
      <c r="D399" s="24"/>
      <c r="E399" s="25"/>
      <c r="F399" s="25" t="s">
        <v>490</v>
      </c>
      <c r="G399" s="33">
        <v>0.25</v>
      </c>
      <c r="H399" s="25" t="s">
        <v>70</v>
      </c>
      <c r="I399" s="25" t="s">
        <v>71</v>
      </c>
      <c r="J399" s="27">
        <v>5000</v>
      </c>
      <c r="K399" s="28">
        <v>16.1</v>
      </c>
      <c r="L399" s="29"/>
      <c r="M399" s="29">
        <f>L399*K399</f>
        <v>0</v>
      </c>
      <c r="N399" s="30">
        <v>4690368017824</v>
      </c>
    </row>
    <row r="400" spans="1:14" ht="34.5" customHeight="1" outlineLevel="3">
      <c r="A400" s="22" t="s">
        <v>491</v>
      </c>
      <c r="B400" s="23" t="str">
        <f>HYPERLINK("http://sedek.ru/upload/iblock/e50/tykva_rozovaya_feya.jpg","фото")</f>
        <v>фото</v>
      </c>
      <c r="C400" s="24"/>
      <c r="D400" s="24"/>
      <c r="E400" s="25"/>
      <c r="F400" s="25" t="s">
        <v>492</v>
      </c>
      <c r="G400" s="26">
        <v>1</v>
      </c>
      <c r="H400" s="25" t="s">
        <v>70</v>
      </c>
      <c r="I400" s="25" t="s">
        <v>71</v>
      </c>
      <c r="J400" s="27">
        <v>1500</v>
      </c>
      <c r="K400" s="28">
        <v>21.8</v>
      </c>
      <c r="L400" s="29"/>
      <c r="M400" s="29">
        <f>L400*K400</f>
        <v>0</v>
      </c>
      <c r="N400" s="30">
        <v>4690368021920</v>
      </c>
    </row>
    <row r="401" spans="1:14" ht="34.5" customHeight="1" outlineLevel="3">
      <c r="A401" s="32">
        <v>16418</v>
      </c>
      <c r="B401" s="23" t="str">
        <f>HYPERLINK("http://sedek.ru/upload/iblock/b1a/tykva_rossiyanka.jpg","фото")</f>
        <v>фото</v>
      </c>
      <c r="C401" s="24"/>
      <c r="D401" s="24"/>
      <c r="E401" s="25"/>
      <c r="F401" s="25" t="s">
        <v>493</v>
      </c>
      <c r="G401" s="26">
        <v>2</v>
      </c>
      <c r="H401" s="25" t="s">
        <v>70</v>
      </c>
      <c r="I401" s="25" t="s">
        <v>71</v>
      </c>
      <c r="J401" s="27">
        <v>1500</v>
      </c>
      <c r="K401" s="28">
        <v>18</v>
      </c>
      <c r="L401" s="29"/>
      <c r="M401" s="29">
        <f>L401*K401</f>
        <v>0</v>
      </c>
      <c r="N401" s="30">
        <v>4690368022705</v>
      </c>
    </row>
    <row r="402" spans="1:14" ht="34.5" customHeight="1" outlineLevel="3">
      <c r="A402" s="32">
        <v>13663</v>
      </c>
      <c r="B402" s="23" t="str">
        <f>HYPERLINK("http://sedek.ru/upload/iblock/82d/tykva_sakharnaya_golova.JPG","фото")</f>
        <v>фото</v>
      </c>
      <c r="C402" s="24"/>
      <c r="D402" s="24" t="s">
        <v>95</v>
      </c>
      <c r="E402" s="25"/>
      <c r="F402" s="25" t="s">
        <v>494</v>
      </c>
      <c r="G402" s="26">
        <v>1</v>
      </c>
      <c r="H402" s="25" t="s">
        <v>70</v>
      </c>
      <c r="I402" s="25" t="s">
        <v>71</v>
      </c>
      <c r="J402" s="27">
        <v>1500</v>
      </c>
      <c r="K402" s="28">
        <v>25.1</v>
      </c>
      <c r="L402" s="29"/>
      <c r="M402" s="29">
        <f>L402*K402</f>
        <v>0</v>
      </c>
      <c r="N402" s="30">
        <v>4690368021944</v>
      </c>
    </row>
    <row r="403" spans="1:14" ht="34.5" customHeight="1" outlineLevel="3">
      <c r="A403" s="32">
        <v>13679</v>
      </c>
      <c r="B403" s="23" t="str">
        <f>HYPERLINK("http://sedek.ru/upload/iblock/2bb/tykva_sakharnaya_tokio_f1.jpg","фото")</f>
        <v>фото</v>
      </c>
      <c r="C403" s="24"/>
      <c r="D403" s="24" t="s">
        <v>95</v>
      </c>
      <c r="E403" s="25"/>
      <c r="F403" s="25" t="s">
        <v>495</v>
      </c>
      <c r="G403" s="26">
        <v>1</v>
      </c>
      <c r="H403" s="25" t="s">
        <v>70</v>
      </c>
      <c r="I403" s="25" t="s">
        <v>71</v>
      </c>
      <c r="J403" s="27">
        <v>1500</v>
      </c>
      <c r="K403" s="28">
        <v>22.7</v>
      </c>
      <c r="L403" s="29"/>
      <c r="M403" s="29">
        <f>L403*K403</f>
        <v>0</v>
      </c>
      <c r="N403" s="30">
        <v>4690368021982</v>
      </c>
    </row>
    <row r="404" spans="1:14" ht="34.5" customHeight="1" outlineLevel="3">
      <c r="A404" s="32">
        <v>13664</v>
      </c>
      <c r="B404" s="23" t="str">
        <f>HYPERLINK("http://sedek.ru/upload/iblock/03a/tykva_tatyana.jpg","фото")</f>
        <v>фото</v>
      </c>
      <c r="C404" s="24"/>
      <c r="D404" s="24"/>
      <c r="E404" s="25"/>
      <c r="F404" s="25" t="s">
        <v>496</v>
      </c>
      <c r="G404" s="31">
        <v>1.5</v>
      </c>
      <c r="H404" s="25" t="s">
        <v>70</v>
      </c>
      <c r="I404" s="25" t="s">
        <v>71</v>
      </c>
      <c r="J404" s="27">
        <v>1500</v>
      </c>
      <c r="K404" s="28">
        <v>23.8</v>
      </c>
      <c r="L404" s="29"/>
      <c r="M404" s="29">
        <f>L404*K404</f>
        <v>0</v>
      </c>
      <c r="N404" s="30">
        <v>4690368021968</v>
      </c>
    </row>
    <row r="405" spans="1:14" ht="34.5" customHeight="1" outlineLevel="3">
      <c r="A405" s="22" t="s">
        <v>497</v>
      </c>
      <c r="B405" s="23" t="str">
        <f>HYPERLINK("http://sedek.ru/upload/iblock/c42/tykva_ukrashenie_sada_smes.jpg","фото")</f>
        <v>фото</v>
      </c>
      <c r="C405" s="24"/>
      <c r="D405" s="24"/>
      <c r="E405" s="25"/>
      <c r="F405" s="25" t="s">
        <v>498</v>
      </c>
      <c r="G405" s="26">
        <v>1</v>
      </c>
      <c r="H405" s="25" t="s">
        <v>70</v>
      </c>
      <c r="I405" s="25" t="s">
        <v>71</v>
      </c>
      <c r="J405" s="27">
        <v>1500</v>
      </c>
      <c r="K405" s="28">
        <v>22.7</v>
      </c>
      <c r="L405" s="29"/>
      <c r="M405" s="29">
        <f>L405*K405</f>
        <v>0</v>
      </c>
      <c r="N405" s="30">
        <v>4690368021845</v>
      </c>
    </row>
    <row r="406" spans="1:14" ht="34.5" customHeight="1" outlineLevel="3">
      <c r="A406" s="32">
        <v>14929</v>
      </c>
      <c r="B406" s="23" t="str">
        <f>HYPERLINK("http://sedek.ru/upload/iblock/d1f/tykva_dekorativnaya_fango.jpg","фото")</f>
        <v>фото</v>
      </c>
      <c r="C406" s="24"/>
      <c r="D406" s="24"/>
      <c r="E406" s="25"/>
      <c r="F406" s="25" t="s">
        <v>499</v>
      </c>
      <c r="G406" s="26">
        <v>1</v>
      </c>
      <c r="H406" s="25" t="s">
        <v>70</v>
      </c>
      <c r="I406" s="25" t="s">
        <v>71</v>
      </c>
      <c r="J406" s="27">
        <v>2500</v>
      </c>
      <c r="K406" s="28">
        <v>38.4</v>
      </c>
      <c r="L406" s="29"/>
      <c r="M406" s="29">
        <f>L406*K406</f>
        <v>0</v>
      </c>
      <c r="N406" s="30">
        <v>4690368017787</v>
      </c>
    </row>
    <row r="407" spans="1:14" ht="12" customHeight="1" outlineLevel="2">
      <c r="A407" s="19"/>
      <c r="B407" s="20"/>
      <c r="C407" s="20"/>
      <c r="D407" s="20"/>
      <c r="E407" s="20"/>
      <c r="F407" s="20" t="s">
        <v>500</v>
      </c>
      <c r="G407" s="20"/>
      <c r="H407" s="20"/>
      <c r="I407" s="20"/>
      <c r="J407" s="20"/>
      <c r="K407" s="20"/>
      <c r="L407" s="20"/>
      <c r="M407" s="20"/>
      <c r="N407" s="21"/>
    </row>
    <row r="408" spans="1:14" ht="23.25" customHeight="1" outlineLevel="3">
      <c r="A408" s="32">
        <v>17032</v>
      </c>
      <c r="B408" s="23" t="str">
        <f>HYPERLINK("http://www.sedek.ru/upload/iblock/0ac/kabachok_tsukesha.png","фото")</f>
        <v>фото</v>
      </c>
      <c r="C408" s="24"/>
      <c r="D408" s="24"/>
      <c r="E408" s="25"/>
      <c r="F408" s="25" t="s">
        <v>501</v>
      </c>
      <c r="G408" s="26">
        <v>2</v>
      </c>
      <c r="H408" s="25" t="s">
        <v>70</v>
      </c>
      <c r="I408" s="25" t="s">
        <v>71</v>
      </c>
      <c r="J408" s="27">
        <v>2000</v>
      </c>
      <c r="K408" s="28">
        <v>14.3</v>
      </c>
      <c r="L408" s="29"/>
      <c r="M408" s="29">
        <f>L408*K408</f>
        <v>0</v>
      </c>
      <c r="N408" s="30">
        <v>4690368017343</v>
      </c>
    </row>
    <row r="409" spans="1:14" ht="12" customHeight="1" outlineLevel="3">
      <c r="A409" s="22" t="s">
        <v>502</v>
      </c>
      <c r="B409" s="23" t="str">
        <f>HYPERLINK("http://www.sedek.ru/upload/iblock/5a7/koriandr_korol_rynka.jpg","фото")</f>
        <v>фото</v>
      </c>
      <c r="C409" s="24"/>
      <c r="D409" s="24"/>
      <c r="E409" s="25"/>
      <c r="F409" s="25" t="s">
        <v>503</v>
      </c>
      <c r="G409" s="26">
        <v>2</v>
      </c>
      <c r="H409" s="25" t="s">
        <v>70</v>
      </c>
      <c r="I409" s="25" t="s">
        <v>71</v>
      </c>
      <c r="J409" s="27">
        <v>1000</v>
      </c>
      <c r="K409" s="28">
        <v>14.3</v>
      </c>
      <c r="L409" s="29"/>
      <c r="M409" s="29">
        <f>L409*K409</f>
        <v>0</v>
      </c>
      <c r="N409" s="30">
        <v>4690368031769</v>
      </c>
    </row>
    <row r="410" spans="1:14" ht="34.5" customHeight="1" outlineLevel="3">
      <c r="A410" s="22" t="s">
        <v>504</v>
      </c>
      <c r="B410" s="23" t="str">
        <f>HYPERLINK("http://www.sedek.ru/upload/iblock/2d1/ogurets_la_bella_f1.jpg","фото")</f>
        <v>фото</v>
      </c>
      <c r="C410" s="24"/>
      <c r="D410" s="24"/>
      <c r="E410" s="25"/>
      <c r="F410" s="25" t="s">
        <v>505</v>
      </c>
      <c r="G410" s="31">
        <v>0.2</v>
      </c>
      <c r="H410" s="25" t="s">
        <v>70</v>
      </c>
      <c r="I410" s="25" t="s">
        <v>71</v>
      </c>
      <c r="J410" s="27">
        <v>4000</v>
      </c>
      <c r="K410" s="28">
        <v>14.3</v>
      </c>
      <c r="L410" s="29"/>
      <c r="M410" s="29">
        <f>L410*K410</f>
        <v>0</v>
      </c>
      <c r="N410" s="30">
        <v>4690368032056</v>
      </c>
    </row>
    <row r="411" spans="1:14" ht="34.5" customHeight="1" outlineLevel="3">
      <c r="A411" s="32">
        <v>14070</v>
      </c>
      <c r="B411" s="23" t="str">
        <f>HYPERLINK("http://www.sedek.ru/upload/iblock/26e/ogurets_nezhinskiy_12.png","фото")</f>
        <v>фото</v>
      </c>
      <c r="C411" s="24"/>
      <c r="D411" s="24"/>
      <c r="E411" s="25"/>
      <c r="F411" s="25" t="s">
        <v>506</v>
      </c>
      <c r="G411" s="31">
        <v>0.5</v>
      </c>
      <c r="H411" s="25" t="s">
        <v>70</v>
      </c>
      <c r="I411" s="25" t="s">
        <v>71</v>
      </c>
      <c r="J411" s="27">
        <v>3000</v>
      </c>
      <c r="K411" s="28">
        <v>14.3</v>
      </c>
      <c r="L411" s="29"/>
      <c r="M411" s="29">
        <f>L411*K411</f>
        <v>0</v>
      </c>
      <c r="N411" s="30">
        <v>4690368003384</v>
      </c>
    </row>
    <row r="412" spans="1:14" ht="23.25" customHeight="1" outlineLevel="3">
      <c r="A412" s="22" t="s">
        <v>507</v>
      </c>
      <c r="B412" s="23" t="str">
        <f>HYPERLINK("http://www.sedek.ru/upload/iblock/83f/timyan_ovoshchnoy_chabrets_zmeyka.jpg","Фото")</f>
        <v>Фото</v>
      </c>
      <c r="C412" s="24"/>
      <c r="D412" s="24"/>
      <c r="E412" s="25"/>
      <c r="F412" s="25" t="s">
        <v>508</v>
      </c>
      <c r="G412" s="33">
        <v>0.05</v>
      </c>
      <c r="H412" s="25" t="s">
        <v>70</v>
      </c>
      <c r="I412" s="25" t="s">
        <v>71</v>
      </c>
      <c r="J412" s="27">
        <v>4000</v>
      </c>
      <c r="K412" s="28">
        <v>14.3</v>
      </c>
      <c r="L412" s="29"/>
      <c r="M412" s="29">
        <f>L412*K412</f>
        <v>0</v>
      </c>
      <c r="N412" s="30">
        <v>4690368032070</v>
      </c>
    </row>
    <row r="413" spans="1:14" ht="23.25" customHeight="1" outlineLevel="3">
      <c r="A413" s="32">
        <v>16354</v>
      </c>
      <c r="B413" s="23" t="str">
        <f>HYPERLINK("http://www.sedek.ru/upload/iblock/51d/tomat_alfa.jpg","фото")</f>
        <v>фото</v>
      </c>
      <c r="C413" s="24"/>
      <c r="D413" s="24"/>
      <c r="E413" s="25"/>
      <c r="F413" s="25" t="s">
        <v>509</v>
      </c>
      <c r="G413" s="31">
        <v>0.1</v>
      </c>
      <c r="H413" s="25" t="s">
        <v>70</v>
      </c>
      <c r="I413" s="25" t="s">
        <v>71</v>
      </c>
      <c r="J413" s="27">
        <v>4000</v>
      </c>
      <c r="K413" s="28">
        <v>14.3</v>
      </c>
      <c r="L413" s="29"/>
      <c r="M413" s="29">
        <f>L413*K413</f>
        <v>0</v>
      </c>
      <c r="N413" s="30">
        <v>4690368003902</v>
      </c>
    </row>
    <row r="414" spans="1:14" ht="23.25" customHeight="1" outlineLevel="3">
      <c r="A414" s="32">
        <v>15572</v>
      </c>
      <c r="B414" s="23" t="str">
        <f>HYPERLINK("http://sedek.ru/upload/iblock/44a/tomat_anya.png","фото")</f>
        <v>фото</v>
      </c>
      <c r="C414" s="24"/>
      <c r="D414" s="24"/>
      <c r="E414" s="25"/>
      <c r="F414" s="25" t="s">
        <v>510</v>
      </c>
      <c r="G414" s="31">
        <v>0.1</v>
      </c>
      <c r="H414" s="25" t="s">
        <v>70</v>
      </c>
      <c r="I414" s="25" t="s">
        <v>71</v>
      </c>
      <c r="J414" s="27">
        <v>4000</v>
      </c>
      <c r="K414" s="28">
        <v>14.3</v>
      </c>
      <c r="L414" s="29"/>
      <c r="M414" s="29">
        <f>L414*K414</f>
        <v>0</v>
      </c>
      <c r="N414" s="30">
        <v>4690368003919</v>
      </c>
    </row>
    <row r="415" spans="1:14" ht="23.25" customHeight="1" outlineLevel="3">
      <c r="A415" s="32">
        <v>15960</v>
      </c>
      <c r="B415" s="23" t="str">
        <f>HYPERLINK("http://www.sedek.ru/upload/iblock/15a/tomat_grot.png","фото")</f>
        <v>фото</v>
      </c>
      <c r="C415" s="24"/>
      <c r="D415" s="24"/>
      <c r="E415" s="25"/>
      <c r="F415" s="25" t="s">
        <v>511</v>
      </c>
      <c r="G415" s="31">
        <v>0.1</v>
      </c>
      <c r="H415" s="25" t="s">
        <v>70</v>
      </c>
      <c r="I415" s="25" t="s">
        <v>71</v>
      </c>
      <c r="J415" s="27">
        <v>4000</v>
      </c>
      <c r="K415" s="28">
        <v>14.3</v>
      </c>
      <c r="L415" s="29"/>
      <c r="M415" s="29">
        <f>L415*K415</f>
        <v>0</v>
      </c>
      <c r="N415" s="30">
        <v>4690368003940</v>
      </c>
    </row>
    <row r="416" spans="1:14" ht="23.25" customHeight="1" outlineLevel="3">
      <c r="A416" s="32">
        <v>15731</v>
      </c>
      <c r="B416" s="23" t="str">
        <f>HYPERLINK("http://www.sedek.ru/upload/iblock/b77/tomat_marusya.png","фото")</f>
        <v>фото</v>
      </c>
      <c r="C416" s="24"/>
      <c r="D416" s="24"/>
      <c r="E416" s="25"/>
      <c r="F416" s="25" t="s">
        <v>512</v>
      </c>
      <c r="G416" s="31">
        <v>0.1</v>
      </c>
      <c r="H416" s="25" t="s">
        <v>70</v>
      </c>
      <c r="I416" s="25" t="s">
        <v>71</v>
      </c>
      <c r="J416" s="27">
        <v>4000</v>
      </c>
      <c r="K416" s="28">
        <v>14.3</v>
      </c>
      <c r="L416" s="29"/>
      <c r="M416" s="29">
        <f>L416*K416</f>
        <v>0</v>
      </c>
      <c r="N416" s="30">
        <v>4690368003988</v>
      </c>
    </row>
    <row r="417" spans="1:14" ht="34.5" customHeight="1" outlineLevel="3">
      <c r="A417" s="32">
        <v>15053</v>
      </c>
      <c r="B417" s="23" t="str">
        <f>HYPERLINK("http://sedek.ru/upload/iblock/de1/tomat_subarktik.png","фото")</f>
        <v>фото</v>
      </c>
      <c r="C417" s="24"/>
      <c r="D417" s="24"/>
      <c r="E417" s="25"/>
      <c r="F417" s="25" t="s">
        <v>513</v>
      </c>
      <c r="G417" s="31">
        <v>0.2</v>
      </c>
      <c r="H417" s="25" t="s">
        <v>70</v>
      </c>
      <c r="I417" s="25" t="s">
        <v>71</v>
      </c>
      <c r="J417" s="27">
        <v>3000</v>
      </c>
      <c r="K417" s="28">
        <v>14.3</v>
      </c>
      <c r="L417" s="29"/>
      <c r="M417" s="29">
        <f>L417*K417</f>
        <v>0</v>
      </c>
      <c r="N417" s="30">
        <v>4690368004053</v>
      </c>
    </row>
    <row r="418" spans="1:14" ht="34.5" customHeight="1" outlineLevel="3">
      <c r="A418" s="22" t="s">
        <v>514</v>
      </c>
      <c r="B418" s="23" t="str">
        <f>HYPERLINK("http://www.sedek.ru/upload/iblock/6d8/tykva_stofuntovaya.jpg","фото")</f>
        <v>фото</v>
      </c>
      <c r="C418" s="24"/>
      <c r="D418" s="24"/>
      <c r="E418" s="25"/>
      <c r="F418" s="25" t="s">
        <v>515</v>
      </c>
      <c r="G418" s="26">
        <v>2</v>
      </c>
      <c r="H418" s="25" t="s">
        <v>70</v>
      </c>
      <c r="I418" s="25" t="s">
        <v>71</v>
      </c>
      <c r="J418" s="27">
        <v>1500</v>
      </c>
      <c r="K418" s="28">
        <v>14.3</v>
      </c>
      <c r="L418" s="29"/>
      <c r="M418" s="29">
        <f>L418*K418</f>
        <v>0</v>
      </c>
      <c r="N418" s="30">
        <v>4690368032223</v>
      </c>
    </row>
    <row r="419" spans="1:14" ht="12" customHeight="1" outlineLevel="2">
      <c r="A419" s="19"/>
      <c r="B419" s="20"/>
      <c r="C419" s="20"/>
      <c r="D419" s="20"/>
      <c r="E419" s="20"/>
      <c r="F419" s="20" t="s">
        <v>516</v>
      </c>
      <c r="G419" s="20"/>
      <c r="H419" s="20"/>
      <c r="I419" s="20"/>
      <c r="J419" s="20"/>
      <c r="K419" s="20"/>
      <c r="L419" s="20"/>
      <c r="M419" s="20"/>
      <c r="N419" s="21"/>
    </row>
    <row r="420" spans="1:14" ht="34.5" customHeight="1" outlineLevel="3">
      <c r="A420" s="32">
        <v>15547</v>
      </c>
      <c r="B420" s="23" t="str">
        <f>HYPERLINK("http://www.sedek.ru/upload/iblock/5d2/fasol_laura.jpg","фото")</f>
        <v>фото</v>
      </c>
      <c r="C420" s="24"/>
      <c r="D420" s="24" t="s">
        <v>95</v>
      </c>
      <c r="E420" s="25"/>
      <c r="F420" s="25" t="s">
        <v>517</v>
      </c>
      <c r="G420" s="26">
        <v>5</v>
      </c>
      <c r="H420" s="25" t="s">
        <v>70</v>
      </c>
      <c r="I420" s="25" t="s">
        <v>71</v>
      </c>
      <c r="J420" s="27">
        <v>1000</v>
      </c>
      <c r="K420" s="28">
        <v>24.5</v>
      </c>
      <c r="L420" s="29"/>
      <c r="M420" s="29">
        <f>L420*K420</f>
        <v>0</v>
      </c>
      <c r="N420" s="30">
        <v>4607116262207</v>
      </c>
    </row>
    <row r="421" spans="1:14" ht="23.25" customHeight="1" outlineLevel="3">
      <c r="A421" s="32">
        <v>17040</v>
      </c>
      <c r="B421" s="23" t="str">
        <f>HYPERLINK("http://www.sedek.ru/upload/iblock/a9a/fasol_mechta_khozyayki.jpg","фото")</f>
        <v>фото</v>
      </c>
      <c r="C421" s="24"/>
      <c r="D421" s="24"/>
      <c r="E421" s="25"/>
      <c r="F421" s="25" t="s">
        <v>518</v>
      </c>
      <c r="G421" s="26">
        <v>5</v>
      </c>
      <c r="H421" s="25" t="s">
        <v>70</v>
      </c>
      <c r="I421" s="25" t="s">
        <v>71</v>
      </c>
      <c r="J421" s="27">
        <v>1000</v>
      </c>
      <c r="K421" s="28">
        <v>23.1</v>
      </c>
      <c r="L421" s="29"/>
      <c r="M421" s="29">
        <f>L421*K421</f>
        <v>0</v>
      </c>
      <c r="N421" s="30">
        <v>4690368025478</v>
      </c>
    </row>
    <row r="422" spans="1:14" ht="34.5" customHeight="1" outlineLevel="3">
      <c r="A422" s="32">
        <v>13519</v>
      </c>
      <c r="B422" s="23" t="str">
        <f>HYPERLINK("http://www.sedek.ru/upload/iblock/d9b/fasol_uslada.jpg","фото")</f>
        <v>фото</v>
      </c>
      <c r="C422" s="24"/>
      <c r="D422" s="24"/>
      <c r="E422" s="25"/>
      <c r="F422" s="25" t="s">
        <v>519</v>
      </c>
      <c r="G422" s="26">
        <v>5</v>
      </c>
      <c r="H422" s="25" t="s">
        <v>70</v>
      </c>
      <c r="I422" s="25" t="s">
        <v>71</v>
      </c>
      <c r="J422" s="27">
        <v>1000</v>
      </c>
      <c r="K422" s="28">
        <v>21.6</v>
      </c>
      <c r="L422" s="29"/>
      <c r="M422" s="29">
        <f>L422*K422</f>
        <v>0</v>
      </c>
      <c r="N422" s="30">
        <v>4690368007337</v>
      </c>
    </row>
    <row r="423" spans="1:14" ht="12" customHeight="1" outlineLevel="2">
      <c r="A423" s="19"/>
      <c r="B423" s="20"/>
      <c r="C423" s="20"/>
      <c r="D423" s="20"/>
      <c r="E423" s="20"/>
      <c r="F423" s="20" t="s">
        <v>520</v>
      </c>
      <c r="G423" s="20"/>
      <c r="H423" s="20"/>
      <c r="I423" s="20"/>
      <c r="J423" s="20"/>
      <c r="K423" s="20"/>
      <c r="L423" s="20"/>
      <c r="M423" s="20"/>
      <c r="N423" s="21"/>
    </row>
    <row r="424" spans="1:14" ht="34.5" customHeight="1" outlineLevel="3">
      <c r="A424" s="32">
        <v>14762</v>
      </c>
      <c r="B424" s="23" t="str">
        <f>HYPERLINK("http://www.sedek.ru/upload/iblock/e29/fenkhel_kazanova.jpg","фото")</f>
        <v>фото</v>
      </c>
      <c r="C424" s="24"/>
      <c r="D424" s="24" t="s">
        <v>95</v>
      </c>
      <c r="E424" s="25"/>
      <c r="F424" s="25" t="s">
        <v>521</v>
      </c>
      <c r="G424" s="31">
        <v>0.5</v>
      </c>
      <c r="H424" s="25" t="s">
        <v>70</v>
      </c>
      <c r="I424" s="25" t="s">
        <v>71</v>
      </c>
      <c r="J424" s="27">
        <v>2500</v>
      </c>
      <c r="K424" s="28">
        <v>16.1</v>
      </c>
      <c r="L424" s="29"/>
      <c r="M424" s="29">
        <f>L424*K424</f>
        <v>0</v>
      </c>
      <c r="N424" s="30">
        <v>4607116262283</v>
      </c>
    </row>
    <row r="425" spans="1:14" ht="12" customHeight="1" outlineLevel="2">
      <c r="A425" s="19"/>
      <c r="B425" s="20"/>
      <c r="C425" s="20"/>
      <c r="D425" s="20"/>
      <c r="E425" s="20"/>
      <c r="F425" s="20" t="s">
        <v>522</v>
      </c>
      <c r="G425" s="20"/>
      <c r="H425" s="20"/>
      <c r="I425" s="20"/>
      <c r="J425" s="20"/>
      <c r="K425" s="20"/>
      <c r="L425" s="20"/>
      <c r="M425" s="20"/>
      <c r="N425" s="21"/>
    </row>
    <row r="426" spans="1:14" ht="23.25" customHeight="1" outlineLevel="3">
      <c r="A426" s="32">
        <v>15142</v>
      </c>
      <c r="B426" s="23" t="str">
        <f>HYPERLINK("http://sedek.ru/upload/iblock/bb7/akvilegiya_krasnaya_zvezda.jpg","фото")</f>
        <v>фото</v>
      </c>
      <c r="C426" s="24"/>
      <c r="D426" s="24"/>
      <c r="E426" s="25"/>
      <c r="F426" s="25" t="s">
        <v>523</v>
      </c>
      <c r="G426" s="33">
        <v>0.05</v>
      </c>
      <c r="H426" s="25" t="s">
        <v>70</v>
      </c>
      <c r="I426" s="25" t="s">
        <v>71</v>
      </c>
      <c r="J426" s="27">
        <v>3000</v>
      </c>
      <c r="K426" s="28">
        <v>30.4</v>
      </c>
      <c r="L426" s="29"/>
      <c r="M426" s="29">
        <f>L426*K426</f>
        <v>0</v>
      </c>
      <c r="N426" s="30">
        <v>4607149401079</v>
      </c>
    </row>
    <row r="427" spans="1:14" ht="34.5" customHeight="1" outlineLevel="3">
      <c r="A427" s="32">
        <v>15404</v>
      </c>
      <c r="B427" s="23" t="str">
        <f>HYPERLINK("http://sedek.ru/upload/iblock/5c8/akvilegiya_songbira.jpg","фото")</f>
        <v>фото</v>
      </c>
      <c r="C427" s="24"/>
      <c r="D427" s="24"/>
      <c r="E427" s="25"/>
      <c r="F427" s="25" t="s">
        <v>524</v>
      </c>
      <c r="G427" s="33">
        <v>0.05</v>
      </c>
      <c r="H427" s="25" t="s">
        <v>70</v>
      </c>
      <c r="I427" s="25" t="s">
        <v>71</v>
      </c>
      <c r="J427" s="27">
        <v>3000</v>
      </c>
      <c r="K427" s="28">
        <v>16.8</v>
      </c>
      <c r="L427" s="29"/>
      <c r="M427" s="29">
        <f>L427*K427</f>
        <v>0</v>
      </c>
      <c r="N427" s="30">
        <v>4607116262467</v>
      </c>
    </row>
    <row r="428" spans="1:14" ht="23.25" customHeight="1" outlineLevel="3">
      <c r="A428" s="32">
        <v>15896</v>
      </c>
      <c r="B428" s="23" t="str">
        <f>HYPERLINK("http://sedek.ru/upload/iblock/00a/ankhuza_rosinka_kapskaya.jpg","фото")</f>
        <v>фото</v>
      </c>
      <c r="C428" s="24"/>
      <c r="D428" s="24"/>
      <c r="E428" s="25"/>
      <c r="F428" s="25" t="s">
        <v>525</v>
      </c>
      <c r="G428" s="31">
        <v>0.1</v>
      </c>
      <c r="H428" s="25" t="s">
        <v>70</v>
      </c>
      <c r="I428" s="25" t="s">
        <v>71</v>
      </c>
      <c r="J428" s="27">
        <v>3000</v>
      </c>
      <c r="K428" s="28">
        <v>19.5</v>
      </c>
      <c r="L428" s="29"/>
      <c r="M428" s="29">
        <f>L428*K428</f>
        <v>0</v>
      </c>
      <c r="N428" s="30">
        <v>4607116262597</v>
      </c>
    </row>
    <row r="429" spans="1:14" ht="23.25" customHeight="1" outlineLevel="3">
      <c r="A429" s="32">
        <v>15762</v>
      </c>
      <c r="B429" s="23" t="str">
        <f>HYPERLINK("http://sedek.ru/upload/iblock/e28/armeriya_elegiya_primorskaya.jpg","фото")</f>
        <v>фото</v>
      </c>
      <c r="C429" s="24"/>
      <c r="D429" s="24"/>
      <c r="E429" s="25"/>
      <c r="F429" s="25" t="s">
        <v>526</v>
      </c>
      <c r="G429" s="31">
        <v>0.1</v>
      </c>
      <c r="H429" s="25" t="s">
        <v>70</v>
      </c>
      <c r="I429" s="25" t="s">
        <v>71</v>
      </c>
      <c r="J429" s="27">
        <v>3500</v>
      </c>
      <c r="K429" s="28">
        <v>57.2</v>
      </c>
      <c r="L429" s="29"/>
      <c r="M429" s="29">
        <f>L429*K429</f>
        <v>0</v>
      </c>
      <c r="N429" s="30">
        <v>4607116262627</v>
      </c>
    </row>
    <row r="430" spans="1:14" ht="23.25" customHeight="1" outlineLevel="3">
      <c r="A430" s="32">
        <v>14510</v>
      </c>
      <c r="B430" s="23" t="str">
        <f>HYPERLINK("http://sedek.ru/upload/iblock/f4c/brakhikoma_vals.jpg","фото")</f>
        <v>фото</v>
      </c>
      <c r="C430" s="24"/>
      <c r="D430" s="24"/>
      <c r="E430" s="25"/>
      <c r="F430" s="25" t="s">
        <v>527</v>
      </c>
      <c r="G430" s="31">
        <v>0.1</v>
      </c>
      <c r="H430" s="25" t="s">
        <v>70</v>
      </c>
      <c r="I430" s="25" t="s">
        <v>71</v>
      </c>
      <c r="J430" s="27">
        <v>3000</v>
      </c>
      <c r="K430" s="28">
        <v>16.8</v>
      </c>
      <c r="L430" s="29"/>
      <c r="M430" s="29">
        <f>L430*K430</f>
        <v>0</v>
      </c>
      <c r="N430" s="30">
        <v>4607116263426</v>
      </c>
    </row>
    <row r="431" spans="1:14" ht="23.25" customHeight="1" outlineLevel="3">
      <c r="A431" s="32">
        <v>14664</v>
      </c>
      <c r="B431" s="23" t="str">
        <f>HYPERLINK("http://sedek.ru/upload/iblock/cc6/brovalliya_vernost.jpg","фото")</f>
        <v>фото</v>
      </c>
      <c r="C431" s="24"/>
      <c r="D431" s="24"/>
      <c r="E431" s="25"/>
      <c r="F431" s="25" t="s">
        <v>528</v>
      </c>
      <c r="G431" s="31">
        <v>0.1</v>
      </c>
      <c r="H431" s="25" t="s">
        <v>70</v>
      </c>
      <c r="I431" s="25" t="s">
        <v>71</v>
      </c>
      <c r="J431" s="27">
        <v>3000</v>
      </c>
      <c r="K431" s="28">
        <v>38.1</v>
      </c>
      <c r="L431" s="29"/>
      <c r="M431" s="29">
        <f>L431*K431</f>
        <v>0</v>
      </c>
      <c r="N431" s="30">
        <v>4607116263440</v>
      </c>
    </row>
    <row r="432" spans="1:14" ht="34.5" customHeight="1" outlineLevel="3">
      <c r="A432" s="22" t="s">
        <v>529</v>
      </c>
      <c r="B432" s="23" t="str">
        <f>HYPERLINK("http://www.sedek.ru/upload/iblock/162/viola_peschanyy_bereg_f1.jpg","фото")</f>
        <v>фото</v>
      </c>
      <c r="C432" s="24"/>
      <c r="D432" s="24"/>
      <c r="E432" s="25"/>
      <c r="F432" s="25" t="s">
        <v>530</v>
      </c>
      <c r="G432" s="26">
        <v>5</v>
      </c>
      <c r="H432" s="25" t="s">
        <v>130</v>
      </c>
      <c r="I432" s="25" t="s">
        <v>71</v>
      </c>
      <c r="J432" s="27">
        <v>4000</v>
      </c>
      <c r="K432" s="28">
        <v>35.1</v>
      </c>
      <c r="L432" s="29"/>
      <c r="M432" s="29">
        <f>L432*K432</f>
        <v>0</v>
      </c>
      <c r="N432" s="30">
        <v>4690368037266</v>
      </c>
    </row>
    <row r="433" spans="1:14" ht="23.25" customHeight="1" outlineLevel="3">
      <c r="A433" s="32">
        <v>16162</v>
      </c>
      <c r="B433" s="23" t="str">
        <f>HYPERLINK("http://sedek.ru/upload/iblock/051/gvozdika_krakovyak.jpg","фото")</f>
        <v>фото</v>
      </c>
      <c r="C433" s="24"/>
      <c r="D433" s="24"/>
      <c r="E433" s="25"/>
      <c r="F433" s="25" t="s">
        <v>531</v>
      </c>
      <c r="G433" s="33">
        <v>0.05</v>
      </c>
      <c r="H433" s="25" t="s">
        <v>70</v>
      </c>
      <c r="I433" s="25" t="s">
        <v>71</v>
      </c>
      <c r="J433" s="27">
        <v>5000</v>
      </c>
      <c r="K433" s="28">
        <v>35</v>
      </c>
      <c r="L433" s="29"/>
      <c r="M433" s="29">
        <f>L433*K433</f>
        <v>0</v>
      </c>
      <c r="N433" s="30">
        <v>4607149407729</v>
      </c>
    </row>
    <row r="434" spans="1:14" ht="23.25" customHeight="1" outlineLevel="3">
      <c r="A434" s="32">
        <v>14939</v>
      </c>
      <c r="B434" s="23" t="str">
        <f>HYPERLINK("http://sedek.ru/upload/iblock/85b/georgina_aurika.jpg","фото")</f>
        <v>фото</v>
      </c>
      <c r="C434" s="24"/>
      <c r="D434" s="24"/>
      <c r="E434" s="25"/>
      <c r="F434" s="25" t="s">
        <v>532</v>
      </c>
      <c r="G434" s="31">
        <v>0.2</v>
      </c>
      <c r="H434" s="25" t="s">
        <v>70</v>
      </c>
      <c r="I434" s="25" t="s">
        <v>71</v>
      </c>
      <c r="J434" s="27">
        <v>3000</v>
      </c>
      <c r="K434" s="28">
        <v>52.6</v>
      </c>
      <c r="L434" s="29"/>
      <c r="M434" s="29">
        <f>L434*K434</f>
        <v>0</v>
      </c>
      <c r="N434" s="30">
        <v>4690368017886</v>
      </c>
    </row>
    <row r="435" spans="1:14" ht="23.25" customHeight="1" outlineLevel="3">
      <c r="A435" s="32">
        <v>16529</v>
      </c>
      <c r="B435" s="23" t="str">
        <f>HYPERLINK("http://sedek.ru/upload/iblock/512/giliya_orfey.jpg","фото")</f>
        <v>фото</v>
      </c>
      <c r="C435" s="24"/>
      <c r="D435" s="24"/>
      <c r="E435" s="25"/>
      <c r="F435" s="25" t="s">
        <v>533</v>
      </c>
      <c r="G435" s="31">
        <v>0.2</v>
      </c>
      <c r="H435" s="25" t="s">
        <v>70</v>
      </c>
      <c r="I435" s="25" t="s">
        <v>71</v>
      </c>
      <c r="J435" s="27">
        <v>2500</v>
      </c>
      <c r="K435" s="28">
        <v>16.8</v>
      </c>
      <c r="L435" s="29"/>
      <c r="M435" s="29">
        <f>L435*K435</f>
        <v>0</v>
      </c>
      <c r="N435" s="30">
        <v>4607116263938</v>
      </c>
    </row>
    <row r="436" spans="1:14" ht="23.25" customHeight="1" outlineLevel="3">
      <c r="A436" s="32">
        <v>16163</v>
      </c>
      <c r="B436" s="23" t="str">
        <f>HYPERLINK("http://sedek.ru/upload/iblock/e1f/gorets_ametistovaya_kroshka.jpg","фото")</f>
        <v>фото</v>
      </c>
      <c r="C436" s="24"/>
      <c r="D436" s="24"/>
      <c r="E436" s="25"/>
      <c r="F436" s="25" t="s">
        <v>534</v>
      </c>
      <c r="G436" s="31">
        <v>0.1</v>
      </c>
      <c r="H436" s="25" t="s">
        <v>70</v>
      </c>
      <c r="I436" s="25" t="s">
        <v>71</v>
      </c>
      <c r="J436" s="27">
        <v>3000</v>
      </c>
      <c r="K436" s="28">
        <v>26.6</v>
      </c>
      <c r="L436" s="29"/>
      <c r="M436" s="29">
        <f>L436*K436</f>
        <v>0</v>
      </c>
      <c r="N436" s="30">
        <v>4607116264010</v>
      </c>
    </row>
    <row r="437" spans="1:14" ht="23.25" customHeight="1" outlineLevel="3">
      <c r="A437" s="32">
        <v>14980</v>
      </c>
      <c r="B437" s="23" t="str">
        <f>HYPERLINK("http://sedek.ru/upload/iblock/5a1/dushistyy_goroshek_venetsiya.jpg","фото")</f>
        <v>фото</v>
      </c>
      <c r="C437" s="24"/>
      <c r="D437" s="24"/>
      <c r="E437" s="25"/>
      <c r="F437" s="25" t="s">
        <v>535</v>
      </c>
      <c r="G437" s="26">
        <v>1</v>
      </c>
      <c r="H437" s="25" t="s">
        <v>70</v>
      </c>
      <c r="I437" s="25" t="s">
        <v>71</v>
      </c>
      <c r="J437" s="27">
        <v>1500</v>
      </c>
      <c r="K437" s="28">
        <v>18.5</v>
      </c>
      <c r="L437" s="29"/>
      <c r="M437" s="29">
        <f>L437*K437</f>
        <v>0</v>
      </c>
      <c r="N437" s="30">
        <v>4690368018241</v>
      </c>
    </row>
    <row r="438" spans="1:14" ht="23.25" customHeight="1" outlineLevel="3">
      <c r="A438" s="32">
        <v>16222</v>
      </c>
      <c r="B438" s="23" t="str">
        <f>HYPERLINK("http://sedek.ru/upload/iblock/316/dushistyy_goroshek_kapri.jpg","фото")</f>
        <v>фото</v>
      </c>
      <c r="C438" s="24"/>
      <c r="D438" s="24"/>
      <c r="E438" s="25"/>
      <c r="F438" s="25" t="s">
        <v>536</v>
      </c>
      <c r="G438" s="26">
        <v>1</v>
      </c>
      <c r="H438" s="25" t="s">
        <v>70</v>
      </c>
      <c r="I438" s="25" t="s">
        <v>71</v>
      </c>
      <c r="J438" s="27">
        <v>1500</v>
      </c>
      <c r="K438" s="28">
        <v>26</v>
      </c>
      <c r="L438" s="29"/>
      <c r="M438" s="29">
        <f>L438*K438</f>
        <v>0</v>
      </c>
      <c r="N438" s="30">
        <v>4607149401154</v>
      </c>
    </row>
    <row r="439" spans="1:14" ht="34.5" customHeight="1" outlineLevel="3">
      <c r="A439" s="32">
        <v>14992</v>
      </c>
      <c r="B439" s="23" t="str">
        <f>HYPERLINK("http://sedek.ru/upload/iblock/9c9/dushistyy_goroshek_mister_smit.jpg","фото")</f>
        <v>фото</v>
      </c>
      <c r="C439" s="24"/>
      <c r="D439" s="24"/>
      <c r="E439" s="25"/>
      <c r="F439" s="25" t="s">
        <v>537</v>
      </c>
      <c r="G439" s="31">
        <v>0.5</v>
      </c>
      <c r="H439" s="25" t="s">
        <v>70</v>
      </c>
      <c r="I439" s="25" t="s">
        <v>71</v>
      </c>
      <c r="J439" s="27">
        <v>1500</v>
      </c>
      <c r="K439" s="28">
        <v>26.7</v>
      </c>
      <c r="L439" s="29"/>
      <c r="M439" s="29">
        <f>L439*K439</f>
        <v>0</v>
      </c>
      <c r="N439" s="30">
        <v>4690368018388</v>
      </c>
    </row>
    <row r="440" spans="1:14" ht="23.25" customHeight="1" outlineLevel="3">
      <c r="A440" s="32">
        <v>14979</v>
      </c>
      <c r="B440" s="23" t="str">
        <f>HYPERLINK("http://sedek.ru/upload/iblock/f11/dushistyy_goroshek_pezaro.jpg","фото")</f>
        <v>фото</v>
      </c>
      <c r="C440" s="24"/>
      <c r="D440" s="24"/>
      <c r="E440" s="25"/>
      <c r="F440" s="25" t="s">
        <v>538</v>
      </c>
      <c r="G440" s="26">
        <v>1</v>
      </c>
      <c r="H440" s="25" t="s">
        <v>70</v>
      </c>
      <c r="I440" s="25" t="s">
        <v>71</v>
      </c>
      <c r="J440" s="27">
        <v>1500</v>
      </c>
      <c r="K440" s="28">
        <v>18.5</v>
      </c>
      <c r="L440" s="29"/>
      <c r="M440" s="29">
        <f>L440*K440</f>
        <v>0</v>
      </c>
      <c r="N440" s="30">
        <v>4690368018234</v>
      </c>
    </row>
    <row r="441" spans="1:14" ht="34.5" customHeight="1" outlineLevel="3">
      <c r="A441" s="32">
        <v>14999</v>
      </c>
      <c r="B441" s="23" t="str">
        <f>HYPERLINK("http://sedek.ru/upload/iblock/2eb/dushistyy_goroshek_talisman.jpg","фото")</f>
        <v>фото</v>
      </c>
      <c r="C441" s="24"/>
      <c r="D441" s="24"/>
      <c r="E441" s="25"/>
      <c r="F441" s="25" t="s">
        <v>539</v>
      </c>
      <c r="G441" s="31">
        <v>0.5</v>
      </c>
      <c r="H441" s="25" t="s">
        <v>70</v>
      </c>
      <c r="I441" s="25" t="s">
        <v>71</v>
      </c>
      <c r="J441" s="27">
        <v>1500</v>
      </c>
      <c r="K441" s="28">
        <v>32.3</v>
      </c>
      <c r="L441" s="29"/>
      <c r="M441" s="29">
        <f>L441*K441</f>
        <v>0</v>
      </c>
      <c r="N441" s="30">
        <v>4690368018456</v>
      </c>
    </row>
    <row r="442" spans="1:14" ht="34.5" customHeight="1" outlineLevel="3">
      <c r="A442" s="32">
        <v>14989</v>
      </c>
      <c r="B442" s="23" t="str">
        <f>HYPERLINK("http://sedek.ru/upload/iblock/a60/dushistyy_goroshek_fleytist.jpg","фото")</f>
        <v>фото</v>
      </c>
      <c r="C442" s="24"/>
      <c r="D442" s="24"/>
      <c r="E442" s="25"/>
      <c r="F442" s="25" t="s">
        <v>540</v>
      </c>
      <c r="G442" s="31">
        <v>0.5</v>
      </c>
      <c r="H442" s="25" t="s">
        <v>70</v>
      </c>
      <c r="I442" s="25" t="s">
        <v>71</v>
      </c>
      <c r="J442" s="27">
        <v>1500</v>
      </c>
      <c r="K442" s="28">
        <v>32.3</v>
      </c>
      <c r="L442" s="29"/>
      <c r="M442" s="29">
        <f>L442*K442</f>
        <v>0</v>
      </c>
      <c r="N442" s="30">
        <v>4690368018333</v>
      </c>
    </row>
    <row r="443" spans="1:14" ht="23.25" customHeight="1" outlineLevel="3">
      <c r="A443" s="32">
        <v>15865</v>
      </c>
      <c r="B443" s="23" t="str">
        <f>HYPERLINK("http://sedek.ru/upload/iblock/339/dushistyy_tabak_navazhdenie.jpg","фото")</f>
        <v>фото</v>
      </c>
      <c r="C443" s="24"/>
      <c r="D443" s="24"/>
      <c r="E443" s="25"/>
      <c r="F443" s="25" t="s">
        <v>541</v>
      </c>
      <c r="G443" s="31">
        <v>0.1</v>
      </c>
      <c r="H443" s="25" t="s">
        <v>70</v>
      </c>
      <c r="I443" s="25" t="s">
        <v>71</v>
      </c>
      <c r="J443" s="27">
        <v>4000</v>
      </c>
      <c r="K443" s="28">
        <v>19.5</v>
      </c>
      <c r="L443" s="29"/>
      <c r="M443" s="29">
        <f>L443*K443</f>
        <v>0</v>
      </c>
      <c r="N443" s="30">
        <v>4607116264188</v>
      </c>
    </row>
    <row r="444" spans="1:14" ht="23.25" customHeight="1" outlineLevel="3">
      <c r="A444" s="32">
        <v>14404</v>
      </c>
      <c r="B444" s="23" t="str">
        <f>HYPERLINK("http://sedek.ru/upload/iblock/873/dushistyy_tabak_nyuans.jpg","фото")</f>
        <v>фото</v>
      </c>
      <c r="C444" s="24"/>
      <c r="D444" s="24"/>
      <c r="E444" s="25"/>
      <c r="F444" s="25" t="s">
        <v>542</v>
      </c>
      <c r="G444" s="31">
        <v>0.1</v>
      </c>
      <c r="H444" s="25" t="s">
        <v>70</v>
      </c>
      <c r="I444" s="25" t="s">
        <v>71</v>
      </c>
      <c r="J444" s="27">
        <v>4000</v>
      </c>
      <c r="K444" s="28">
        <v>16.8</v>
      </c>
      <c r="L444" s="29"/>
      <c r="M444" s="29">
        <f>L444*K444</f>
        <v>0</v>
      </c>
      <c r="N444" s="30">
        <v>4607116264195</v>
      </c>
    </row>
    <row r="445" spans="1:14" ht="23.25" customHeight="1" outlineLevel="3">
      <c r="A445" s="32">
        <v>14788</v>
      </c>
      <c r="B445" s="23" t="str">
        <f>HYPERLINK("http://sedek.ru/upload/iblock/893/kardiospermum_zhongler.jpg","фото")</f>
        <v>фото</v>
      </c>
      <c r="C445" s="24"/>
      <c r="D445" s="24"/>
      <c r="E445" s="25"/>
      <c r="F445" s="25" t="s">
        <v>543</v>
      </c>
      <c r="G445" s="31">
        <v>0.5</v>
      </c>
      <c r="H445" s="25" t="s">
        <v>70</v>
      </c>
      <c r="I445" s="25" t="s">
        <v>71</v>
      </c>
      <c r="J445" s="27">
        <v>2000</v>
      </c>
      <c r="K445" s="28">
        <v>31.6</v>
      </c>
      <c r="L445" s="29"/>
      <c r="M445" s="29">
        <f>L445*K445</f>
        <v>0</v>
      </c>
      <c r="N445" s="30">
        <v>4607116264447</v>
      </c>
    </row>
    <row r="446" spans="1:14" ht="23.25" customHeight="1" outlineLevel="3">
      <c r="A446" s="32">
        <v>17126</v>
      </c>
      <c r="B446" s="23" t="str">
        <f>HYPERLINK("http://sedek.ru/upload/iblock/8be/kleoma_kameliya.jpg","фото")</f>
        <v>фото</v>
      </c>
      <c r="C446" s="24"/>
      <c r="D446" s="24"/>
      <c r="E446" s="25"/>
      <c r="F446" s="25" t="s">
        <v>544</v>
      </c>
      <c r="G446" s="31">
        <v>0.2</v>
      </c>
      <c r="H446" s="25" t="s">
        <v>70</v>
      </c>
      <c r="I446" s="25" t="s">
        <v>71</v>
      </c>
      <c r="J446" s="27">
        <v>2500</v>
      </c>
      <c r="K446" s="28">
        <v>18.3</v>
      </c>
      <c r="L446" s="29"/>
      <c r="M446" s="29">
        <f>L446*K446</f>
        <v>0</v>
      </c>
      <c r="N446" s="30">
        <v>4690368023443</v>
      </c>
    </row>
    <row r="447" spans="1:14" ht="23.25" customHeight="1" outlineLevel="3">
      <c r="A447" s="32">
        <v>17044</v>
      </c>
      <c r="B447" s="23" t="str">
        <f>HYPERLINK("http://www.sedek.ru/upload/iblock/aba/koleus_faust.jpg","фото")</f>
        <v>фото</v>
      </c>
      <c r="C447" s="24"/>
      <c r="D447" s="24"/>
      <c r="E447" s="25"/>
      <c r="F447" s="25" t="s">
        <v>545</v>
      </c>
      <c r="G447" s="31">
        <v>0.1</v>
      </c>
      <c r="H447" s="25" t="s">
        <v>70</v>
      </c>
      <c r="I447" s="25" t="s">
        <v>71</v>
      </c>
      <c r="J447" s="27">
        <v>3500</v>
      </c>
      <c r="K447" s="28">
        <v>40.5</v>
      </c>
      <c r="L447" s="29"/>
      <c r="M447" s="29">
        <f>L447*K447</f>
        <v>0</v>
      </c>
      <c r="N447" s="30">
        <v>4607149404087</v>
      </c>
    </row>
    <row r="448" spans="1:14" ht="23.25" customHeight="1" outlineLevel="3">
      <c r="A448" s="32">
        <v>16181</v>
      </c>
      <c r="B448" s="23" t="str">
        <f>HYPERLINK("http://sedek.ru/upload/iblock/983/kolokolchik_reverans.jpg","фото")</f>
        <v>фото</v>
      </c>
      <c r="C448" s="24"/>
      <c r="D448" s="24"/>
      <c r="E448" s="25"/>
      <c r="F448" s="25" t="s">
        <v>546</v>
      </c>
      <c r="G448" s="33">
        <v>0.05</v>
      </c>
      <c r="H448" s="25" t="s">
        <v>70</v>
      </c>
      <c r="I448" s="25" t="s">
        <v>71</v>
      </c>
      <c r="J448" s="27">
        <v>3000</v>
      </c>
      <c r="K448" s="28">
        <v>16.8</v>
      </c>
      <c r="L448" s="29"/>
      <c r="M448" s="29">
        <f>L448*K448</f>
        <v>0</v>
      </c>
      <c r="N448" s="30">
        <v>4607116264584</v>
      </c>
    </row>
    <row r="449" spans="1:14" ht="23.25" customHeight="1" outlineLevel="3">
      <c r="A449" s="32">
        <v>14567</v>
      </c>
      <c r="B449" s="23" t="str">
        <f>HYPERLINK("http://sedek.ru/upload/iblock/b60/kolokolchik_snovidenie_sredniy.jpg","фото")</f>
        <v>фото</v>
      </c>
      <c r="C449" s="24"/>
      <c r="D449" s="24"/>
      <c r="E449" s="25"/>
      <c r="F449" s="25" t="s">
        <v>547</v>
      </c>
      <c r="G449" s="31">
        <v>0.1</v>
      </c>
      <c r="H449" s="25" t="s">
        <v>70</v>
      </c>
      <c r="I449" s="25" t="s">
        <v>71</v>
      </c>
      <c r="J449" s="27">
        <v>3000</v>
      </c>
      <c r="K449" s="28">
        <v>16.8</v>
      </c>
      <c r="L449" s="29"/>
      <c r="M449" s="29">
        <f>L449*K449</f>
        <v>0</v>
      </c>
      <c r="N449" s="30">
        <v>4607116264607</v>
      </c>
    </row>
    <row r="450" spans="1:14" ht="34.5" customHeight="1" outlineLevel="3">
      <c r="A450" s="32">
        <v>14111</v>
      </c>
      <c r="B450" s="23" t="str">
        <f>HYPERLINK("http://sedek.ru/upload/iblock/214/kolokolchik_chashka_s_blyudtsem_medium_smes.jpg","фото")</f>
        <v>фото</v>
      </c>
      <c r="C450" s="24"/>
      <c r="D450" s="24"/>
      <c r="E450" s="25"/>
      <c r="F450" s="25" t="s">
        <v>548</v>
      </c>
      <c r="G450" s="31">
        <v>0.1</v>
      </c>
      <c r="H450" s="25" t="s">
        <v>70</v>
      </c>
      <c r="I450" s="25" t="s">
        <v>71</v>
      </c>
      <c r="J450" s="27">
        <v>3000</v>
      </c>
      <c r="K450" s="28">
        <v>22.4</v>
      </c>
      <c r="L450" s="29"/>
      <c r="M450" s="29">
        <f>L450*K450</f>
        <v>0</v>
      </c>
      <c r="N450" s="30">
        <v>4607116264614</v>
      </c>
    </row>
    <row r="451" spans="1:14" ht="23.25" customHeight="1" outlineLevel="3">
      <c r="A451" s="32">
        <v>15240</v>
      </c>
      <c r="B451" s="23" t="str">
        <f>HYPERLINK("http://sedek.ru/upload/iblock/145/konvolvulyus_vyunok_belyy_tanets.jpg","фото")</f>
        <v>фото</v>
      </c>
      <c r="C451" s="24"/>
      <c r="D451" s="24"/>
      <c r="E451" s="25"/>
      <c r="F451" s="25" t="s">
        <v>549</v>
      </c>
      <c r="G451" s="26">
        <v>1</v>
      </c>
      <c r="H451" s="25" t="s">
        <v>70</v>
      </c>
      <c r="I451" s="25" t="s">
        <v>71</v>
      </c>
      <c r="J451" s="27">
        <v>2000</v>
      </c>
      <c r="K451" s="28">
        <v>16.8</v>
      </c>
      <c r="L451" s="29"/>
      <c r="M451" s="29">
        <f>L451*K451</f>
        <v>0</v>
      </c>
      <c r="N451" s="30">
        <v>4607116264638</v>
      </c>
    </row>
    <row r="452" spans="1:14" ht="34.5" customHeight="1" outlineLevel="3">
      <c r="A452" s="32">
        <v>14454</v>
      </c>
      <c r="B452" s="23" t="str">
        <f>HYPERLINK("http://sedek.ru/upload/iblock/e33/kukuruza_zemlyanichnaya_dekorativnaya.jpg","фото")</f>
        <v>фото</v>
      </c>
      <c r="C452" s="24"/>
      <c r="D452" s="24"/>
      <c r="E452" s="25"/>
      <c r="F452" s="25" t="s">
        <v>550</v>
      </c>
      <c r="G452" s="26">
        <v>1</v>
      </c>
      <c r="H452" s="25" t="s">
        <v>70</v>
      </c>
      <c r="I452" s="25" t="s">
        <v>71</v>
      </c>
      <c r="J452" s="27">
        <v>1500</v>
      </c>
      <c r="K452" s="28">
        <v>24.1</v>
      </c>
      <c r="L452" s="29"/>
      <c r="M452" s="29">
        <f>L452*K452</f>
        <v>0</v>
      </c>
      <c r="N452" s="30">
        <v>4607116264775</v>
      </c>
    </row>
    <row r="453" spans="1:14" ht="34.5" customHeight="1" outlineLevel="3">
      <c r="A453" s="32">
        <v>15046</v>
      </c>
      <c r="B453" s="23" t="str">
        <f>HYPERLINK("http://sedek.ru/upload/iblock/e33/kukuruza_zemlyanichnaya_dekorativnaya.jpg","фото")</f>
        <v>фото</v>
      </c>
      <c r="C453" s="24"/>
      <c r="D453" s="24"/>
      <c r="E453" s="25"/>
      <c r="F453" s="25" t="s">
        <v>551</v>
      </c>
      <c r="G453" s="26">
        <v>1</v>
      </c>
      <c r="H453" s="25" t="s">
        <v>70</v>
      </c>
      <c r="I453" s="25" t="s">
        <v>71</v>
      </c>
      <c r="J453" s="27">
        <v>1500</v>
      </c>
      <c r="K453" s="28">
        <v>24.9</v>
      </c>
      <c r="L453" s="29"/>
      <c r="M453" s="29">
        <f>L453*K453</f>
        <v>0</v>
      </c>
      <c r="N453" s="30">
        <v>4690368019392</v>
      </c>
    </row>
    <row r="454" spans="1:14" ht="23.25" customHeight="1" outlineLevel="3">
      <c r="A454" s="32">
        <v>15252</v>
      </c>
      <c r="B454" s="23" t="str">
        <f>HYPERLINK("http://sedek.ru/upload/iblock/18c/levkoy_snezhnaya_lavina.jpg","фото")</f>
        <v>фото</v>
      </c>
      <c r="C454" s="24"/>
      <c r="D454" s="24"/>
      <c r="E454" s="25"/>
      <c r="F454" s="25" t="s">
        <v>552</v>
      </c>
      <c r="G454" s="31">
        <v>0.1</v>
      </c>
      <c r="H454" s="25" t="s">
        <v>70</v>
      </c>
      <c r="I454" s="25" t="s">
        <v>71</v>
      </c>
      <c r="J454" s="27">
        <v>4000</v>
      </c>
      <c r="K454" s="28">
        <v>32.9</v>
      </c>
      <c r="L454" s="29"/>
      <c r="M454" s="29">
        <f>L454*K454</f>
        <v>0</v>
      </c>
      <c r="N454" s="30">
        <v>4607116264843</v>
      </c>
    </row>
    <row r="455" spans="1:14" ht="23.25" customHeight="1" outlineLevel="3">
      <c r="A455" s="32">
        <v>15006</v>
      </c>
      <c r="B455" s="23" t="str">
        <f>HYPERLINK("http://sedek.ru/upload/iblock/541/levkoy_fuke.jpg","фото")</f>
        <v>фото</v>
      </c>
      <c r="C455" s="24"/>
      <c r="D455" s="24"/>
      <c r="E455" s="25"/>
      <c r="F455" s="25" t="s">
        <v>553</v>
      </c>
      <c r="G455" s="31">
        <v>0.1</v>
      </c>
      <c r="H455" s="25" t="s">
        <v>70</v>
      </c>
      <c r="I455" s="25" t="s">
        <v>71</v>
      </c>
      <c r="J455" s="27">
        <v>4000</v>
      </c>
      <c r="K455" s="28">
        <v>31.6</v>
      </c>
      <c r="L455" s="29"/>
      <c r="M455" s="29">
        <f>L455*K455</f>
        <v>0</v>
      </c>
      <c r="N455" s="30">
        <v>4690368018975</v>
      </c>
    </row>
    <row r="456" spans="1:14" ht="23.25" customHeight="1" outlineLevel="3">
      <c r="A456" s="32">
        <v>16485</v>
      </c>
      <c r="B456" s="23" t="str">
        <f>HYPERLINK("http://sedek.ru/upload/iblock/f47/matrikariya_snou_boll.jpg","фото")</f>
        <v>фото</v>
      </c>
      <c r="C456" s="24"/>
      <c r="D456" s="24"/>
      <c r="E456" s="25"/>
      <c r="F456" s="25" t="s">
        <v>554</v>
      </c>
      <c r="G456" s="31">
        <v>0.1</v>
      </c>
      <c r="H456" s="25" t="s">
        <v>70</v>
      </c>
      <c r="I456" s="25" t="s">
        <v>71</v>
      </c>
      <c r="J456" s="27">
        <v>3000</v>
      </c>
      <c r="K456" s="28">
        <v>26</v>
      </c>
      <c r="L456" s="29"/>
      <c r="M456" s="29">
        <f>L456*K456</f>
        <v>0</v>
      </c>
      <c r="N456" s="30">
        <v>4607116265239</v>
      </c>
    </row>
    <row r="457" spans="1:14" ht="23.25" customHeight="1" outlineLevel="3">
      <c r="A457" s="32">
        <v>16483</v>
      </c>
      <c r="B457" s="23" t="str">
        <f>HYPERLINK("http://sedek.ru/upload/iblock/03f/Монарда лимонная Диана (Н).JPG","фото")</f>
        <v>фото</v>
      </c>
      <c r="C457" s="24"/>
      <c r="D457" s="24"/>
      <c r="E457" s="25"/>
      <c r="F457" s="25" t="s">
        <v>555</v>
      </c>
      <c r="G457" s="31">
        <v>0.1</v>
      </c>
      <c r="H457" s="25" t="s">
        <v>70</v>
      </c>
      <c r="I457" s="25" t="s">
        <v>71</v>
      </c>
      <c r="J457" s="27">
        <v>3500</v>
      </c>
      <c r="K457" s="28">
        <v>16.8</v>
      </c>
      <c r="L457" s="29"/>
      <c r="M457" s="29">
        <f>L457*K457</f>
        <v>0</v>
      </c>
      <c r="N457" s="30">
        <v>4607116265307</v>
      </c>
    </row>
    <row r="458" spans="1:14" ht="23.25" customHeight="1" outlineLevel="3">
      <c r="A458" s="32">
        <v>15648</v>
      </c>
      <c r="B458" s="23" t="str">
        <f>HYPERLINK("http://sedek.ru/upload/iblock/fec/petuniya_vernost_gibridnaya.jpg","фото")</f>
        <v>фото</v>
      </c>
      <c r="C458" s="24"/>
      <c r="D458" s="24"/>
      <c r="E458" s="25"/>
      <c r="F458" s="25" t="s">
        <v>556</v>
      </c>
      <c r="G458" s="26">
        <v>10</v>
      </c>
      <c r="H458" s="25" t="s">
        <v>130</v>
      </c>
      <c r="I458" s="25" t="s">
        <v>71</v>
      </c>
      <c r="J458" s="27">
        <v>1500</v>
      </c>
      <c r="K458" s="28">
        <v>23.8</v>
      </c>
      <c r="L458" s="29"/>
      <c r="M458" s="29">
        <f>L458*K458</f>
        <v>0</v>
      </c>
      <c r="N458" s="30">
        <v>4690368015677</v>
      </c>
    </row>
    <row r="459" spans="1:14" ht="23.25" customHeight="1" outlineLevel="3">
      <c r="A459" s="32">
        <v>15223</v>
      </c>
      <c r="B459" s="23" t="str">
        <f>HYPERLINK("http://sedek.ru/upload/iblock/d5f/primula_skromnitsa.jpg","фото")</f>
        <v>фото</v>
      </c>
      <c r="C459" s="24"/>
      <c r="D459" s="24"/>
      <c r="E459" s="25"/>
      <c r="F459" s="25" t="s">
        <v>557</v>
      </c>
      <c r="G459" s="31">
        <v>0.1</v>
      </c>
      <c r="H459" s="25" t="s">
        <v>70</v>
      </c>
      <c r="I459" s="25" t="s">
        <v>71</v>
      </c>
      <c r="J459" s="27">
        <v>3500</v>
      </c>
      <c r="K459" s="28">
        <v>43.9</v>
      </c>
      <c r="L459" s="29"/>
      <c r="M459" s="29">
        <f>L459*K459</f>
        <v>0</v>
      </c>
      <c r="N459" s="30">
        <v>4607149401314</v>
      </c>
    </row>
    <row r="460" spans="1:14" ht="34.5" customHeight="1" outlineLevel="3">
      <c r="A460" s="32">
        <v>15045</v>
      </c>
      <c r="B460" s="23" t="str">
        <f>HYPERLINK("http://sedek.ru/upload/iblock/3b9/smolevka_dzhambo.jpg","фото")</f>
        <v>фото</v>
      </c>
      <c r="C460" s="24"/>
      <c r="D460" s="24"/>
      <c r="E460" s="25"/>
      <c r="F460" s="25" t="s">
        <v>558</v>
      </c>
      <c r="G460" s="31">
        <v>0.5</v>
      </c>
      <c r="H460" s="25" t="s">
        <v>70</v>
      </c>
      <c r="I460" s="25" t="s">
        <v>71</v>
      </c>
      <c r="J460" s="27">
        <v>2500</v>
      </c>
      <c r="K460" s="28">
        <v>22.6</v>
      </c>
      <c r="L460" s="29"/>
      <c r="M460" s="29">
        <f>L460*K460</f>
        <v>0</v>
      </c>
      <c r="N460" s="30">
        <v>4690368019385</v>
      </c>
    </row>
    <row r="461" spans="1:14" ht="23.25" customHeight="1" outlineLevel="3">
      <c r="A461" s="32">
        <v>30972</v>
      </c>
      <c r="B461" s="23" t="str">
        <f>HYPERLINK("http://www.sedek.ru/upload/iblock/2a1/spilantes_myatnyy_vkus.jpg","фото")</f>
        <v>фото</v>
      </c>
      <c r="C461" s="24"/>
      <c r="D461" s="24"/>
      <c r="E461" s="25"/>
      <c r="F461" s="25" t="s">
        <v>559</v>
      </c>
      <c r="G461" s="33">
        <v>0.05</v>
      </c>
      <c r="H461" s="25" t="s">
        <v>70</v>
      </c>
      <c r="I461" s="25" t="s">
        <v>71</v>
      </c>
      <c r="J461" s="27">
        <v>3000</v>
      </c>
      <c r="K461" s="28">
        <v>50.9</v>
      </c>
      <c r="L461" s="29"/>
      <c r="M461" s="29">
        <f>L461*K461</f>
        <v>0</v>
      </c>
      <c r="N461" s="30">
        <v>4690368031295</v>
      </c>
    </row>
    <row r="462" spans="1:14" ht="34.5" customHeight="1" outlineLevel="3">
      <c r="A462" s="32">
        <v>15215</v>
      </c>
      <c r="B462" s="23" t="str">
        <f>HYPERLINK("http://www.sedek.ru/upload/iblock/584/fialka_drakosha_vid_vitrokka_zheltaya_s_krasnymi_krylyami.jpg","Фото")</f>
        <v>Фото</v>
      </c>
      <c r="C462" s="24"/>
      <c r="D462" s="24"/>
      <c r="E462" s="25"/>
      <c r="F462" s="25" t="s">
        <v>560</v>
      </c>
      <c r="G462" s="33">
        <v>0.05</v>
      </c>
      <c r="H462" s="25" t="s">
        <v>70</v>
      </c>
      <c r="I462" s="25" t="s">
        <v>71</v>
      </c>
      <c r="J462" s="27">
        <v>4000</v>
      </c>
      <c r="K462" s="28">
        <v>16.8</v>
      </c>
      <c r="L462" s="29"/>
      <c r="M462" s="29">
        <f>L462*K462</f>
        <v>0</v>
      </c>
      <c r="N462" s="30">
        <v>4607116266250</v>
      </c>
    </row>
    <row r="463" spans="1:14" ht="34.5" customHeight="1" outlineLevel="3">
      <c r="A463" s="32">
        <v>14735</v>
      </c>
      <c r="B463" s="23" t="str">
        <f>HYPERLINK("http://sedek.ru/upload/iblock/e66/fialka_klaret_shveytsarskiy_gigant.jpg","фото")</f>
        <v>фото</v>
      </c>
      <c r="C463" s="24"/>
      <c r="D463" s="24"/>
      <c r="E463" s="25"/>
      <c r="F463" s="25" t="s">
        <v>561</v>
      </c>
      <c r="G463" s="33">
        <v>0.05</v>
      </c>
      <c r="H463" s="25" t="s">
        <v>70</v>
      </c>
      <c r="I463" s="25" t="s">
        <v>71</v>
      </c>
      <c r="J463" s="27">
        <v>4000</v>
      </c>
      <c r="K463" s="28">
        <v>19.5</v>
      </c>
      <c r="L463" s="29"/>
      <c r="M463" s="29">
        <f>L463*K463</f>
        <v>0</v>
      </c>
      <c r="N463" s="30">
        <v>4607116266274</v>
      </c>
    </row>
    <row r="464" spans="1:14" ht="34.5" customHeight="1" outlineLevel="3">
      <c r="A464" s="32">
        <v>14446</v>
      </c>
      <c r="B464" s="23" t="str">
        <f>HYPERLINK("http://sedek.ru/upload/iblock/5ec/khrizantema-gloriya_n_.jpg","фото")</f>
        <v>фото</v>
      </c>
      <c r="C464" s="24"/>
      <c r="D464" s="24"/>
      <c r="E464" s="25"/>
      <c r="F464" s="25" t="s">
        <v>562</v>
      </c>
      <c r="G464" s="31">
        <v>0.5</v>
      </c>
      <c r="H464" s="25" t="s">
        <v>70</v>
      </c>
      <c r="I464" s="25" t="s">
        <v>71</v>
      </c>
      <c r="J464" s="27">
        <v>3000</v>
      </c>
      <c r="K464" s="28">
        <v>19.5</v>
      </c>
      <c r="L464" s="29"/>
      <c r="M464" s="29">
        <f>L464*K464</f>
        <v>0</v>
      </c>
      <c r="N464" s="30">
        <v>4607116266380</v>
      </c>
    </row>
    <row r="465" spans="1:14" ht="23.25" customHeight="1" outlineLevel="3">
      <c r="A465" s="32">
        <v>14914</v>
      </c>
      <c r="B465" s="23" t="str">
        <f>HYPERLINK("http://sedek.ru/upload/iblock/0d6/Целозия перистая Фламандец (Н).JPG","фото")</f>
        <v>фото</v>
      </c>
      <c r="C465" s="24"/>
      <c r="D465" s="24"/>
      <c r="E465" s="25"/>
      <c r="F465" s="25" t="s">
        <v>563</v>
      </c>
      <c r="G465" s="31">
        <v>0.2</v>
      </c>
      <c r="H465" s="25" t="s">
        <v>70</v>
      </c>
      <c r="I465" s="25" t="s">
        <v>71</v>
      </c>
      <c r="J465" s="27">
        <v>2500</v>
      </c>
      <c r="K465" s="28">
        <v>19.5</v>
      </c>
      <c r="L465" s="29"/>
      <c r="M465" s="29">
        <f>L465*K465</f>
        <v>0</v>
      </c>
      <c r="N465" s="30">
        <v>4690368017633</v>
      </c>
    </row>
    <row r="466" spans="1:14" ht="34.5" customHeight="1" outlineLevel="3">
      <c r="A466" s="32">
        <v>14397</v>
      </c>
      <c r="B466" s="23" t="str">
        <f>HYPERLINK("http://sedek.ru/upload/iblock/7cc/tsinniya_santa_mariya.jpg","фото")</f>
        <v>фото</v>
      </c>
      <c r="C466" s="24"/>
      <c r="D466" s="24"/>
      <c r="E466" s="25"/>
      <c r="F466" s="25" t="s">
        <v>564</v>
      </c>
      <c r="G466" s="31">
        <v>0.5</v>
      </c>
      <c r="H466" s="25" t="s">
        <v>70</v>
      </c>
      <c r="I466" s="25" t="s">
        <v>71</v>
      </c>
      <c r="J466" s="27">
        <v>3000</v>
      </c>
      <c r="K466" s="28">
        <v>19.5</v>
      </c>
      <c r="L466" s="29"/>
      <c r="M466" s="29">
        <f>L466*K466</f>
        <v>0</v>
      </c>
      <c r="N466" s="30">
        <v>4607116266502</v>
      </c>
    </row>
    <row r="467" spans="1:14" ht="23.25" customHeight="1" outlineLevel="3">
      <c r="A467" s="32">
        <v>15049</v>
      </c>
      <c r="B467" s="23" t="str">
        <f>HYPERLINK("http://sedek.ru/upload/iblock/72a/tsinniya_senorita.jpg","фото")</f>
        <v>фото</v>
      </c>
      <c r="C467" s="24"/>
      <c r="D467" s="24"/>
      <c r="E467" s="25"/>
      <c r="F467" s="25" t="s">
        <v>565</v>
      </c>
      <c r="G467" s="33">
        <v>0.25</v>
      </c>
      <c r="H467" s="25" t="s">
        <v>70</v>
      </c>
      <c r="I467" s="25" t="s">
        <v>71</v>
      </c>
      <c r="J467" s="27">
        <v>3000</v>
      </c>
      <c r="K467" s="28">
        <v>19.5</v>
      </c>
      <c r="L467" s="29"/>
      <c r="M467" s="29">
        <f>L467*K467</f>
        <v>0</v>
      </c>
      <c r="N467" s="30">
        <v>4690368019422</v>
      </c>
    </row>
    <row r="468" spans="1:14" ht="23.25" customHeight="1" outlineLevel="3">
      <c r="A468" s="32">
        <v>15592</v>
      </c>
      <c r="B468" s="23" t="str">
        <f>HYPERLINK("http://sedek.ru/upload/iblock/812/tsinoglossum_nebosvod_chernokoren.jpg","фото")</f>
        <v>фото</v>
      </c>
      <c r="C468" s="24"/>
      <c r="D468" s="24"/>
      <c r="E468" s="25"/>
      <c r="F468" s="25" t="s">
        <v>566</v>
      </c>
      <c r="G468" s="31">
        <v>0.5</v>
      </c>
      <c r="H468" s="25"/>
      <c r="I468" s="25" t="s">
        <v>71</v>
      </c>
      <c r="J468" s="27">
        <v>1000</v>
      </c>
      <c r="K468" s="28">
        <v>16.8</v>
      </c>
      <c r="L468" s="29"/>
      <c r="M468" s="29">
        <f>L468*K468</f>
        <v>0</v>
      </c>
      <c r="N468" s="30">
        <v>4607116266649</v>
      </c>
    </row>
    <row r="469" spans="1:14" ht="23.25" customHeight="1" outlineLevel="3">
      <c r="A469" s="32">
        <v>14604</v>
      </c>
      <c r="B469" s="23" t="str">
        <f>HYPERLINK("http://sedek.ru/upload/iblock/0ec/shtok_roza_koroleva_krasoty.jpg","фото")</f>
        <v>фото</v>
      </c>
      <c r="C469" s="24"/>
      <c r="D469" s="24"/>
      <c r="E469" s="25"/>
      <c r="F469" s="25" t="s">
        <v>567</v>
      </c>
      <c r="G469" s="31">
        <v>0.1</v>
      </c>
      <c r="H469" s="25" t="s">
        <v>70</v>
      </c>
      <c r="I469" s="25" t="s">
        <v>71</v>
      </c>
      <c r="J469" s="27">
        <v>3000</v>
      </c>
      <c r="K469" s="28">
        <v>20.9</v>
      </c>
      <c r="L469" s="29"/>
      <c r="M469" s="29">
        <f>L469*K469</f>
        <v>0</v>
      </c>
      <c r="N469" s="30">
        <v>4607116266670</v>
      </c>
    </row>
    <row r="470" spans="1:14" ht="23.25" customHeight="1" outlineLevel="3">
      <c r="A470" s="32">
        <v>15823</v>
      </c>
      <c r="B470" s="23" t="str">
        <f>HYPERLINK("http://sedek.ru/upload/iblock/ffe/enotera_solveyg.jpg","фото")</f>
        <v>фото</v>
      </c>
      <c r="C470" s="24"/>
      <c r="D470" s="24"/>
      <c r="E470" s="25"/>
      <c r="F470" s="25" t="s">
        <v>568</v>
      </c>
      <c r="G470" s="31">
        <v>0.2</v>
      </c>
      <c r="H470" s="25" t="s">
        <v>70</v>
      </c>
      <c r="I470" s="25" t="s">
        <v>71</v>
      </c>
      <c r="J470" s="27">
        <v>3000</v>
      </c>
      <c r="K470" s="28">
        <v>26.6</v>
      </c>
      <c r="L470" s="29"/>
      <c r="M470" s="29">
        <f>L470*K470</f>
        <v>0</v>
      </c>
      <c r="N470" s="30">
        <v>4607116266755</v>
      </c>
    </row>
    <row r="471" spans="1:14" ht="9.75" outlineLevel="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</sheetData>
  <sheetProtection/>
  <autoFilter ref="A54:N470"/>
  <mergeCells count="54">
    <mergeCell ref="A49:N49"/>
    <mergeCell ref="A50:N50"/>
    <mergeCell ref="A51:N51"/>
    <mergeCell ref="A52:N52"/>
    <mergeCell ref="A53:N53"/>
    <mergeCell ref="A44:D44"/>
    <mergeCell ref="F44:N44"/>
    <mergeCell ref="A45:D45"/>
    <mergeCell ref="F45:N45"/>
    <mergeCell ref="A46:D46"/>
    <mergeCell ref="F46:N46"/>
    <mergeCell ref="A41:D41"/>
    <mergeCell ref="F41:N41"/>
    <mergeCell ref="A42:D42"/>
    <mergeCell ref="F42:N42"/>
    <mergeCell ref="A43:D43"/>
    <mergeCell ref="F43:N43"/>
    <mergeCell ref="A38:D38"/>
    <mergeCell ref="F38:N38"/>
    <mergeCell ref="A39:D39"/>
    <mergeCell ref="F39:N39"/>
    <mergeCell ref="A40:D40"/>
    <mergeCell ref="F40:N40"/>
    <mergeCell ref="A35:D35"/>
    <mergeCell ref="F35:N35"/>
    <mergeCell ref="A36:D36"/>
    <mergeCell ref="F36:N36"/>
    <mergeCell ref="A37:D37"/>
    <mergeCell ref="F37:N37"/>
    <mergeCell ref="A32:D32"/>
    <mergeCell ref="F32:N32"/>
    <mergeCell ref="A33:D33"/>
    <mergeCell ref="F33:N33"/>
    <mergeCell ref="A34:D34"/>
    <mergeCell ref="F34:N34"/>
    <mergeCell ref="A21:N21"/>
    <mergeCell ref="A24:N24"/>
    <mergeCell ref="A29:N29"/>
    <mergeCell ref="A30:D30"/>
    <mergeCell ref="F30:N30"/>
    <mergeCell ref="A31:D31"/>
    <mergeCell ref="F31:N31"/>
    <mergeCell ref="A7:N7"/>
    <mergeCell ref="A11:K11"/>
    <mergeCell ref="A13:N13"/>
    <mergeCell ref="A17:K17"/>
    <mergeCell ref="A18:K18"/>
    <mergeCell ref="A20:N20"/>
    <mergeCell ref="A1:N1"/>
    <mergeCell ref="A2:N2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</cp:lastModifiedBy>
  <cp:lastPrinted>2024-04-15T06:56:22Z</cp:lastPrinted>
  <dcterms:created xsi:type="dcterms:W3CDTF">2024-04-15T06:56:22Z</dcterms:created>
  <dcterms:modified xsi:type="dcterms:W3CDTF">2024-04-15T07:02:06Z</dcterms:modified>
  <cp:category/>
  <cp:version/>
  <cp:contentType/>
  <cp:contentStatus/>
  <cp:revision>1</cp:revision>
</cp:coreProperties>
</file>